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exyNOG3kB3f7MRGCnwWxyOR0DZt1RqLzj6scpLuWJHFWIjHOTqvR7UhTb6tDYIB0cDwdmr8+SuIEDXlLsXORvg==" workbookSaltValue="YDajHRNT+oXt3fN3bAv+W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X12" i="21" s="1"/>
  <c r="BH11" i="16"/>
  <c r="BH17" i="16"/>
  <c r="BM16" i="11"/>
  <c r="BF17" i="11"/>
  <c r="S17" i="16"/>
  <c r="W13" i="20"/>
  <c r="AT17" i="20"/>
  <c r="BK15" i="11"/>
  <c r="BI10" i="11"/>
  <c r="V9" i="11"/>
  <c r="R10" i="21"/>
  <c r="R13" i="21" s="1"/>
  <c r="BG9" i="11"/>
  <c r="BH17" i="11"/>
  <c r="AP17" i="20"/>
  <c r="BW9" i="20"/>
  <c r="BV16" i="16"/>
  <c r="BV15" i="16"/>
  <c r="BU9" i="17"/>
  <c r="BU16" i="17"/>
  <c r="T13" i="16"/>
  <c r="S15" i="16"/>
  <c r="BF12" i="11"/>
  <c r="BL10" i="11"/>
  <c r="Q15" i="17"/>
  <c r="BF15" i="11"/>
  <c r="BM9" i="11"/>
  <c r="BH12" i="16"/>
  <c r="BK10" i="11"/>
  <c r="BD9" i="8"/>
  <c r="AH13" i="16"/>
  <c r="C10" i="14"/>
  <c r="K10" i="14" s="1"/>
  <c r="AL20" i="20"/>
  <c r="E20" i="20"/>
  <c r="AC20" i="20"/>
  <c r="H17" i="2" l="1"/>
  <c r="BG15" i="8"/>
  <c r="B12" i="6"/>
  <c r="BL16" i="11"/>
  <c r="BJ16" i="11"/>
  <c r="AQ12" i="21"/>
  <c r="BH16" i="11"/>
  <c r="BM17" i="11"/>
  <c r="BH10" i="16"/>
  <c r="BL15" i="11"/>
  <c r="P15" i="17"/>
  <c r="AZ16" i="11"/>
  <c r="BV9" i="16"/>
  <c r="BW10" i="20"/>
  <c r="BW15" i="20"/>
  <c r="BW16" i="20"/>
  <c r="BW17" i="20"/>
  <c r="BU15" i="17"/>
  <c r="BM15" i="11"/>
  <c r="BL11" i="11"/>
  <c r="BI17" i="11"/>
  <c r="BJ11" i="11"/>
  <c r="Q10" i="21"/>
  <c r="V11" i="11"/>
  <c r="BL12" i="11"/>
  <c r="BF16" i="11"/>
  <c r="P17" i="17"/>
  <c r="BG10" i="11"/>
  <c r="BL9" i="11"/>
  <c r="BF11" i="11"/>
  <c r="BG16" i="11"/>
  <c r="BH11" i="11"/>
  <c r="BK16" i="11"/>
  <c r="BJ10" i="11"/>
  <c r="AQ10" i="21"/>
  <c r="BI9" i="11"/>
  <c r="BH10" i="11"/>
  <c r="Q17" i="17"/>
  <c r="BG12" i="11"/>
  <c r="BU12" i="17"/>
  <c r="BU17" i="17"/>
  <c r="BV10" i="16"/>
  <c r="BW11" i="20"/>
  <c r="BV11" i="16"/>
  <c r="BW12" i="20"/>
  <c r="BV12" i="16"/>
  <c r="BU10" i="17"/>
  <c r="BV17" i="16"/>
  <c r="BU11" i="17"/>
  <c r="T15" i="16"/>
  <c r="T17" i="16"/>
  <c r="BK17" i="11"/>
  <c r="R17" i="20"/>
  <c r="R18" i="20" s="1"/>
  <c r="BG15" i="11"/>
  <c r="AP15" i="20"/>
  <c r="BJ12" i="11"/>
  <c r="BJ15" i="11"/>
  <c r="BI15" i="11"/>
  <c r="BH9" i="11"/>
  <c r="BM12" i="11"/>
  <c r="AP10" i="21"/>
  <c r="BK11" i="11"/>
  <c r="V17" i="16"/>
  <c r="X13" i="20"/>
  <c r="BK9" i="11"/>
  <c r="BF10" i="11"/>
  <c r="BK12" i="11"/>
  <c r="BL17" i="11"/>
  <c r="Q17" i="20"/>
  <c r="Q18" i="20" s="1"/>
  <c r="BH15" i="16"/>
  <c r="BH15" i="11"/>
  <c r="BJ17" i="11"/>
  <c r="V15" i="11"/>
  <c r="BH9" i="16"/>
  <c r="AP16"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BK13" i="1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<sst xmlns="http://schemas.openxmlformats.org/spreadsheetml/2006/main" count="2080" uniqueCount="913">
  <si>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</si>
  <si>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</si>
  <si>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</si>
  <si>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</si>
  <si>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</si>
  <si>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</si>
  <si>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</si>
  <si>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</si>
  <si>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</si>
  <si>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</si>
  <si>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</si>
  <si>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</si>
  <si>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</si>
  <si>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</si>
  <si>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</si>
  <si>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</si>
  <si>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</si>
  <si>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</si>
  <si>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</si>
  <si>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</si>
  <si>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</si>
  <si>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</si>
  <si>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</si>
  <si>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</si>
  <si>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</si>
  <si>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</si>
  <si>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</si>
  <si>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</si>
  <si>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</si>
  <si>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</si>
  <si>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</si>
  <si>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</si>
  <si>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</si>
  <si>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</si>
  <si>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</si>
  <si>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</si>
  <si>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</si>
  <si>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</si>
  <si>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</si>
  <si>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</si>
  <si>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</si>
  <si>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</si>
  <si>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</si>
  <si>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</si>
  <si>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</si>
  <si>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</si>
  <si>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</si>
  <si>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</si>
  <si>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</si>
  <si>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</si>
  <si>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</si>
  <si>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</si>
  <si>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</si>
  <si>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</si>
  <si>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</si>
  <si>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</si>
  <si>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</si>
  <si>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</si>
  <si>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</si>
  <si>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</si>
  <si>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</si>
  <si>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</si>
  <si>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</si>
  <si>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</si>
  <si>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</si>
  <si>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</si>
  <si>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</si>
  <si>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</si>
  <si>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</si>
  <si>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</si>
  <si>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</si>
  <si>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</si>
  <si>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</si>
  <si>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</si>
  <si>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</si>
  <si>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</si>
  <si>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</si>
  <si>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</si>
  <si>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</si>
  <si>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</si>
  <si>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</si>
  <si>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</si>
  <si>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</si>
  <si>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</si>
  <si>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</si>
  <si>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</si>
  <si>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</si>
  <si>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</si>
  <si>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</si>
  <si>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</si>
  <si>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</si>
  <si>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</si>
  <si>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</si>
  <si>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</si>
  <si>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</si>
  <si>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</si>
  <si>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</si>
  <si>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</si>
  <si>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</si>
  <si>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</si>
  <si>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</si>
  <si>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</si>
  <si>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</si>
  <si>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</si>
  <si>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</si>
  <si>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</si>
  <si>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</si>
  <si>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</si>
  <si>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</si>
  <si>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</si>
  <si>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</si>
  <si>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</si>
  <si>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</si>
  <si>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</si>
  <si>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</si>
  <si>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</si>
  <si>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</si>
  <si>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</si>
  <si>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</si>
  <si>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</si>
  <si>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</si>
  <si>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</si>
  <si>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</si>
  <si>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</si>
  <si>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</si>
  <si>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</si>
  <si>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</si>
  <si>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</si>
  <si>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</si>
  <si>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</si>
  <si>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</si>
  <si>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</si>
  <si>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</si>
  <si>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</si>
  <si>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</si>
  <si>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</si>
  <si>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</si>
  <si>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</si>
  <si>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</si>
  <si>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</si>
  <si>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</si>
  <si>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</si>
  <si>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</si>
  <si>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</si>
  <si>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</si>
  <si>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</si>
  <si>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</si>
  <si>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</si>
  <si>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</si>
  <si>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</si>
  <si>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</si>
  <si>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</si>
  <si>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</si>
  <si>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</si>
  <si>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</si>
  <si>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</si>
  <si>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</si>
  <si>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</si>
  <si>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</si>
  <si>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</si>
  <si>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</si>
  <si>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</si>
  <si>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</si>
  <si>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</si>
  <si>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</si>
  <si>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</si>
  <si>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</si>
  <si>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</si>
  <si>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</si>
  <si>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</si>
  <si>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</si>
  <si>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</si>
  <si>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</si>
  <si>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</si>
  <si>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</si>
  <si>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</si>
  <si>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</si>
  <si>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</si>
  <si>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</si>
  <si>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</si>
  <si>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</si>
  <si>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</si>
  <si>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</si>
  <si>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</si>
  <si>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</si>
  <si>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</si>
  <si>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</si>
  <si>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</si>
  <si>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</si>
  <si>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</si>
  <si>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</si>
  <si>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</si>
  <si>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</si>
  <si>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</si>
  <si>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</si>
  <si>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</si>
  <si>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</si>
  <si>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</si>
  <si>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</si>
  <si>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</si>
  <si>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</si>
  <si>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</si>
  <si>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</si>
  <si>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</si>
  <si>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</si>
  <si>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</si>
  <si>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</si>
  <si>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</si>
  <si>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</si>
  <si>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</si>
  <si>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</si>
  <si>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</si>
  <si>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</si>
  <si>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</si>
  <si>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</si>
  <si>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</si>
  <si>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</si>
  <si>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</si>
  <si>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</si>
  <si>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</si>
  <si>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</si>
  <si>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</si>
  <si>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</si>
  <si>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</si>
  <si>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</si>
  <si>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</si>
  <si>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</si>
  <si>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</si>
  <si>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</si>
  <si>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</si>
  <si>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</si>
  <si>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</si>
  <si>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</si>
  <si>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</si>
  <si>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</si>
  <si>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</si>
  <si>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</si>
  <si>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</si>
  <si>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</si>
  <si>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</si>
  <si>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</si>
  <si>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</si>
  <si>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</si>
  <si>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</si>
  <si>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</si>
  <si>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</si>
  <si>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</si>
  <si>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</si>
  <si>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</si>
  <si>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</si>
  <si>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</si>
  <si>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</si>
  <si>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</si>
  <si>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</si>
  <si>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</si>
  <si>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</si>
  <si>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</si>
  <si>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</si>
  <si>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</si>
  <si>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</si>
  <si>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</si>
  <si>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</si>
  <si>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</si>
  <si>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</si>
  <si>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</si>
  <si>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</si>
  <si>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</si>
  <si>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</si>
  <si>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</si>
  <si>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</si>
  <si>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</si>
  <si>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</si>
  <si>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</si>
  <si>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</si>
  <si>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</si>
  <si>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</si>
  <si>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</si>
  <si>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</si>
  <si>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</si>
  <si>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</si>
  <si>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</si>
  <si>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</si>
  <si>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</si>
  <si>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</si>
  <si>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</si>
  <si>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</si>
  <si>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</si>
  <si>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</si>
  <si>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</si>
  <si>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</si>
  <si>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</si>
  <si>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</si>
  <si>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</si>
  <si>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</si>
  <si>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</si>
  <si>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</si>
  <si>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</si>
  <si>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</si>
  <si>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</si>
  <si>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</si>
  <si>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</si>
  <si>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</si>
  <si>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</si>
  <si>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</si>
  <si>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</si>
  <si>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</si>
  <si>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</si>
  <si>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</si>
  <si>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</si>
  <si>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</si>
  <si>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</si>
  <si>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</si>
  <si>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</si>
  <si>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</si>
  <si>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</si>
  <si>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</si>
  <si>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</si>
  <si>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</si>
  <si>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</si>
  <si>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</si>
  <si>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</si>
  <si>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</si>
  <si>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</si>
  <si>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</si>
  <si>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</si>
  <si>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</si>
  <si>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</si>
  <si>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</si>
  <si>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</si>
  <si>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</si>
  <si>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</si>
  <si>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</si>
  <si>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</si>
  <si>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</si>
  <si>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</si>
  <si>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</si>
  <si>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</si>
  <si>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</si>
  <si>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</si>
  <si>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</si>
  <si>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</si>
  <si>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</si>
  <si>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</si>
  <si>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</si>
  <si>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</si>
  <si>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</si>
  <si>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</si>
  <si>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</si>
  <si>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</si>
  <si>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</si>
  <si>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</si>
  <si>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</si>
  <si>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</si>
  <si>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</si>
  <si>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</si>
  <si>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</si>
  <si>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</si>
  <si>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</si>
  <si>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</si>
  <si>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</si>
  <si>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</si>
  <si>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</si>
  <si>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</si>
  <si>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</si>
  <si>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</si>
  <si>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</si>
  <si>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</si>
  <si>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</si>
  <si>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</si>
  <si>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</si>
  <si>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</si>
  <si>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</si>
  <si>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</si>
  <si>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</si>
  <si>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</si>
  <si>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</si>
  <si>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</si>
  <si>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</si>
  <si>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</si>
  <si>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</si>
  <si>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</si>
  <si>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</si>
  <si>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</si>
  <si>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</si>
  <si>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</si>
  <si>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</si>
  <si>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</si>
  <si>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</si>
  <si>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</si>
  <si>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</si>
  <si>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</si>
  <si>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</si>
  <si>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</si>
  <si>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</si>
  <si>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</si>
  <si>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</si>
  <si>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</si>
  <si>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</si>
  <si>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</si>
  <si>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</si>
  <si>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</si>
  <si>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</si>
  <si>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</si>
  <si>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</si>
  <si>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</si>
  <si>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</si>
  <si>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</si>
  <si>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</si>
  <si>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</si>
  <si>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</si>
  <si>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</si>
  <si>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</si>
  <si>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</si>
  <si>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</si>
  <si>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</si>
  <si>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</si>
  <si>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</si>
  <si>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</si>
  <si>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</si>
  <si>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</si>
  <si>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</si>
  <si>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</si>
  <si>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</si>
  <si>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</si>
  <si>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</si>
  <si>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</si>
  <si>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</si>
  <si>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</si>
  <si>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</si>
  <si>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</si>
  <si>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</si>
  <si>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</si>
  <si>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</si>
  <si>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</si>
  <si>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</si>
  <si>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</si>
  <si>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</si>
  <si>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</si>
  <si>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</si>
  <si>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</si>
  <si>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</si>
  <si>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</si>
  <si>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</si>
  <si>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</si>
  <si>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</si>
  <si>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</si>
  <si>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</si>
  <si>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</si>
  <si>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</si>
  <si>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</si>
  <si>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</si>
  <si>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</si>
  <si>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</si>
  <si>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</si>
  <si>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</si>
  <si>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</si>
  <si>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</si>
  <si>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</si>
  <si>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</si>
  <si>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</si>
  <si>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</si>
  <si>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</si>
  <si>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</si>
  <si>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</si>
  <si>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</si>
  <si>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</si>
  <si>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</si>
  <si>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</si>
  <si>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</si>
  <si>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</si>
  <si>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</si>
  <si>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</si>
  <si>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</si>
  <si>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</si>
  <si>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</si>
  <si>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</si>
  <si>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</si>
  <si>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</si>
  <si>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</si>
  <si>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</si>
  <si>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</si>
  <si>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</si>
  <si>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</si>
  <si>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</si>
  <si>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</si>
  <si>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</si>
  <si>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</si>
  <si>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</si>
  <si>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</si>
  <si>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</si>
  <si>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</si>
  <si>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</si>
  <si>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</si>
  <si>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</si>
  <si>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</si>
  <si>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</si>
  <si>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</si>
  <si>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</si>
  <si>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</si>
  <si>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</si>
  <si>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</si>
  <si>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</si>
  <si>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</si>
  <si>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</si>
  <si>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</si>
  <si>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</si>
  <si>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</si>
  <si>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</si>
  <si>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</si>
  <si>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</si>
  <si>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</si>
  <si>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</si>
  <si>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</si>
  <si>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</si>
  <si>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</si>
  <si>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</si>
  <si>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</si>
  <si>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</si>
  <si>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</si>
  <si>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</si>
  <si>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</si>
  <si>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</si>
  <si>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</si>
  <si>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</si>
  <si>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</si>
  <si>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</si>
  <si>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</si>
  <si>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</si>
  <si>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</si>
  <si>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</si>
  <si>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</si>
  <si>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</si>
  <si>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</si>
  <si>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</si>
  <si>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</si>
  <si>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</si>
  <si>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</si>
  <si>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</si>
  <si>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</si>
  <si>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</si>
  <si>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</si>
  <si>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</si>
  <si>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</si>
  <si>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</si>
  <si>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</si>
  <si>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</si>
  <si>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</si>
  <si>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</si>
  <si>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</si>
  <si>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</si>
  <si>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</si>
  <si>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</si>
  <si>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</si>
  <si>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</si>
  <si>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</si>
  <si>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</si>
  <si>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</si>
  <si>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</si>
  <si>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</si>
  <si>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</si>
  <si>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</si>
  <si>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</si>
  <si>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</si>
  <si>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</si>
  <si>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</si>
  <si>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</si>
  <si>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</si>
  <si>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</si>
  <si>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</si>
  <si>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</si>
  <si>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</si>
  <si>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</si>
  <si>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</si>
  <si>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</si>
  <si>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</si>
  <si>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</si>
  <si>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</si>
  <si>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</si>
  <si>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</si>
  <si>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</si>
  <si>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</si>
  <si>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</si>
  <si>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</si>
  <si>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</si>
  <si>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</si>
  <si>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</si>
  <si>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</si>
  <si>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</si>
  <si>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</si>
  <si>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</si>
  <si>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</si>
  <si>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</si>
  <si>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</si>
  <si>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</si>
  <si>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</si>
  <si>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</si>
  <si>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</si>
  <si>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</si>
  <si>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</si>
  <si>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</si>
  <si>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</si>
  <si>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</si>
  <si>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</si>
  <si>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</si>
  <si>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</si>
  <si>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</si>
  <si>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</si>
  <si>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</si>
  <si>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</si>
  <si>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</si>
  <si>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</si>
  <si>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</si>
  <si>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</si>
  <si>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</si>
  <si>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</si>
  <si>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</si>
  <si>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</si>
  <si>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</si>
  <si>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</si>
  <si>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</si>
  <si>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</si>
  <si>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</si>
  <si>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</si>
  <si>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</si>
  <si>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</si>
  <si>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</si>
  <si>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</si>
  <si>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</si>
  <si>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</si>
  <si>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</si>
  <si>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</si>
  <si>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</si>
  <si>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</si>
  <si>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</si>
  <si>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</si>
  <si>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</si>
  <si>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</si>
  <si>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</si>
  <si>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</si>
  <si>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</si>
  <si>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</si>
  <si>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</si>
  <si>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</si>
  <si>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</si>
  <si>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</si>
  <si>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</si>
  <si>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</si>
  <si>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</si>
  <si>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</si>
  <si>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</si>
  <si>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</si>
  <si>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</si>
  <si>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</si>
  <si>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</si>
  <si>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</si>
  <si>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</si>
  <si>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</si>
  <si>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</si>
  <si>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</si>
  <si>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</si>
  <si>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</si>
  <si>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</si>
  <si>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</si>
  <si>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</si>
  <si>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</si>
  <si>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</si>
  <si>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</si>
  <si>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</si>
  <si>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</si>
  <si>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</si>
  <si>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</si>
  <si>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</si>
  <si>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</si>
  <si>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</si>
  <si>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</si>
  <si>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</si>
  <si>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</si>
  <si>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</si>
  <si>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</si>
  <si>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</si>
  <si>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</si>
  <si>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</si>
  <si>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</si>
  <si>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</si>
  <si>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</si>
  <si>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</si>
  <si>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</si>
  <si>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</si>
  <si>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</si>
  <si>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</si>
  <si>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</si>
  <si>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</si>
  <si>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</si>
  <si>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</si>
  <si>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</si>
  <si>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</si>
  <si>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</si>
  <si>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</si>
  <si>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</si>
  <si>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</si>
  <si>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</si>
  <si>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</si>
  <si>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</si>
  <si>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</si>
  <si>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</si>
  <si>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</si>
  <si>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</si>
  <si>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</si>
  <si>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</si>
  <si>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</si>
  <si>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</si>
  <si>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</si>
  <si>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</si>
  <si>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</si>
  <si>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</si>
  <si>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</si>
  <si>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</si>
  <si>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</si>
  <si>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</si>
  <si>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</si>
  <si>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</si>
  <si>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</si>
  <si>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</si>
  <si>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</si>
  <si>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</si>
  <si>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</si>
  <si>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</si>
  <si>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</si>
  <si>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</si>
  <si>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</si>
  <si>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</si>
  <si>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</si>
  <si>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</si>
  <si>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</si>
  <si>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</si>
  <si>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</si>
  <si>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</si>
  <si>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</si>
  <si>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</si>
  <si>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</si>
  <si>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</si>
  <si>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</si>
  <si>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</si>
  <si>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</si>
  <si>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</si>
  <si>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</si>
  <si>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</si>
  <si>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</si>
  <si>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</si>
  <si>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</si>
  <si>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</si>
  <si>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</si>
  <si>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</si>
  <si>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</si>
  <si>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</si>
  <si>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</si>
  <si>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</si>
  <si>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</si>
  <si>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</si>
  <si>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</si>
  <si>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</si>
  <si>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</si>
  <si>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</si>
  <si>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</si>
  <si>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</si>
  <si>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</si>
  <si>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</si>
  <si>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</si>
  <si>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</si>
  <si>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</si>
  <si>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</si>
  <si>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</si>
  <si>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</si>
  <si>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</si>
  <si>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</si>
  <si>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</si>
  <si>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</si>
  <si>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</si>
  <si>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</si>
  <si>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</si>
  <si>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</si>
  <si>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</si>
  <si>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</si>
  <si>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</si>
  <si>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</si>
  <si>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</si>
  <si>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</si>
  <si>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</si>
  <si>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</si>
  <si>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</si>
  <si>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</si>
  <si>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</si>
  <si>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</si>
  <si>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</si>
  <si>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</si>
  <si>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</si>
  <si>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</si>
  <si>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</si>
  <si>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</si>
  <si>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</si>
  <si>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</si>
  <si>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</si>
  <si>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</si>
  <si>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</si>
  <si>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</si>
  <si>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</si>
  <si>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</si>
  <si>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</si>
  <si>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</si>
  <si>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</si>
  <si>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</si>
  <si>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</si>
  <si>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</si>
  <si>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</si>
  <si>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</si>
  <si>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</si>
  <si>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</si>
  <si>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</si>
  <si>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</si>
  <si>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</si>
  <si>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</si>
  <si>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</si>
  <si>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</si>
  <si>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</si>
  <si>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</si>
  <si>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</si>
  <si>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</si>
  <si>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</si>
  <si>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</si>
  <si>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</si>
  <si>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</si>
  <si>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</si>
  <si>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</si>
  <si>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</si>
  <si>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</si>
  <si>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</si>
  <si>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</si>
  <si>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</si>
  <si>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</si>
  <si>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</si>
  <si>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</si>
  <si>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</si>
  <si>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</si>
  <si>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</si>
  <si>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</si>
  <si>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</si>
  <si>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</si>
  <si>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</si>
  <si>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</si>
  <si>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</si>
  <si>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</si>
  <si>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</si>
  <si>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</si>
  <si>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</si>
  <si>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</si>
  <si>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</si>
  <si>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</si>
  <si>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</si>
  <si>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</si>
  <si>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</si>
  <si>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</si>
  <si>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</si>
  <si>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</si>
  <si>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</si>
  <si>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</si>
  <si>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</si>
  <si>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</si>
  <si>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</si>
  <si>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</si>
  <si>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</si>
  <si>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</si>
  <si>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</si>
  <si>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</si>
  <si>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</si>
  <si>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</si>
  <si>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</si>
  <si>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</si>
  <si>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</si>
  <si>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</si>
  <si>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</si>
  <si>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</si>
  <si>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</si>
  <si>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</si>
  <si>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</si>
  <si>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</si>
  <si>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</si>
  <si>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</si>
  <si>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</si>
  <si>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</si>
  <si>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</si>
  <si>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</si>
  <si>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</si>
  <si>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</si>
  <si>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</si>
  <si>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</si>
  <si>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</si>
  <si>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</si>
  <si>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</si>
  <si>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</si>
  <si>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</si>
  <si>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</si>
  <si>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</si>
  <si>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</si>
  <si>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</si>
  <si>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</si>
  <si>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</si>
  <si>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</si>
  <si>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</si>
  <si>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REGION DE MURCIA</t>
  </si>
  <si>
    <t>Provincias</t>
  </si>
  <si>
    <t>MURCIA</t>
  </si>
  <si>
    <t>Resumenes por Partidos Judiciales</t>
  </si>
  <si>
    <t>CARTAGENA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</si>
</sst>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RotIxqdevXEEKn21gOCV1/3Q50loAvo2mb09LA/RLK1qVD6Gl5emO1QqlBxGpwPGVARdvGtmbrUEJRZ90Bq34Q==" saltValue="vXwNnNmMHQu9MkIG9W3Ly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REGION DE MURCIA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5</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86.274964838255968</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134</v>
      </c>
      <c r="D10" s="229">
        <f>IF(ISNUMBER(Datos!I10),Datos!I10," - ")</f>
        <v>134</v>
      </c>
      <c r="E10" s="230">
        <f>IF(ISNUMBER(Datos!J10),Datos!J10," - ")</f>
        <v>71</v>
      </c>
      <c r="F10" s="230">
        <f>IF(ISNUMBER(Datos!K10),Datos!K10," - ")</f>
        <v>80</v>
      </c>
      <c r="G10" s="1189" t="str">
        <f>IF(Datos!E10&lt;&gt;"",Datos!E10,Datos!D10)</f>
        <v>37</v>
      </c>
      <c r="H10" s="231">
        <f>IF(ISNUMBER(Datos!L10),Datos!L10," - ")</f>
        <v>125</v>
      </c>
      <c r="I10" s="1199" t="str">
        <f>IF(ISNUMBER(Datos!AS10/Datos!BM10),Datos!AS10/Datos!BM10," - ")</f>
        <v xml:space="preserve"> - </v>
      </c>
      <c r="J10" s="1200">
        <f>IF(ISNUMBER(Datos!BY10/Datos!CN10),Datos!BY10/Datos!CN10," - ")</f>
        <v>0</v>
      </c>
      <c r="K10" s="234">
        <f t="shared" ref="K10:K12" si="1">IF(ISNUMBER((E10-F10)/C10),(E10-F10)/C10," - ")</f>
        <v>-6.7164179104477612E-2</v>
      </c>
      <c r="L10" s="1201">
        <f>IF(ISNUMBER(NºAsuntos!I10/NºAsuntos!G10),(NºAsuntos!I10/NºAsuntos!G10)*11," - ")</f>
        <v>17.1875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41.879017013232513</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134</v>
      </c>
      <c r="D13" s="1206">
        <f>SUBTOTAL(9,D9:D12)</f>
        <v>134</v>
      </c>
      <c r="E13" s="1207">
        <f>SUBTOTAL(9,E9:E12)</f>
        <v>71</v>
      </c>
      <c r="F13" s="1208">
        <f>SUBTOTAL(9,F9:F12)</f>
        <v>80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5</v>
      </c>
      <c r="B15" s="1254" t="str">
        <f>Datos!A15</f>
        <v xml:space="preserve">Jdos. Instrucción                               </v>
      </c>
      <c r="C15" s="229">
        <f t="shared" ref="C15:C17" si="2">IF(ISNUMBER(H15-E15+F15),H15-E15+F15," - ")</f>
        <v>3205</v>
      </c>
      <c r="D15" s="229">
        <f>IF(ISNUMBER(IF(D_I="SI",Datos!I15,Datos!I15+Datos!AC15)),IF(D_I="SI",Datos!I15,Datos!I15+Datos!AC15)," - ")</f>
        <v>3198</v>
      </c>
      <c r="E15" s="230">
        <f>IF(ISNUMBER(IF(D_I="SI",Datos!J15,Datos!J15+Datos!AD15)),IF(D_I="SI",Datos!J15,Datos!J15+Datos!AD15)," - ")</f>
        <v>2723</v>
      </c>
      <c r="F15" s="230">
        <f>IF(ISNUMBER(IF(D_I="SI",Datos!K15,Datos!K15+Datos!AE15)),IF(D_I="SI",Datos!K15,Datos!K15+Datos!AE15)," - ")</f>
        <v>1891</v>
      </c>
      <c r="G15" s="1189" t="str">
        <f>IF(Datos!E15&lt;&gt;"",Datos!E15,Datos!D15)</f>
        <v>03</v>
      </c>
      <c r="H15" s="231">
        <f>IF(ISNUMBER(IF(D_I="SI",Datos!L15,Datos!L15+Datos!AF15)),IF(D_I="SI",Datos!L15,Datos!L15+Datos!AF15)," - ")</f>
        <v>4037</v>
      </c>
      <c r="I15" s="1199" t="str">
        <f>IF(ISNUMBER(Datos!AS15/Datos!BM15),Datos!AS15/Datos!BM15," - ")</f>
        <v xml:space="preserve"> - </v>
      </c>
      <c r="J15" s="1200">
        <f>IF(ISNUMBER(Datos!BY15/Datos!CN15),Datos!BY15/Datos!CN15," - ")</f>
        <v>0</v>
      </c>
      <c r="K15" s="234">
        <f t="shared" ref="K15:K17" si="3">IF(ISNUMBER((E15-F15)/C15),(E15-F15)/C15," - ")</f>
        <v>0.25959438377535099</v>
      </c>
      <c r="L15" s="1201">
        <f>IF(ISNUMBER(NºAsuntos!I15/NºAsuntos!G15),(NºAsuntos!I15/NºAsuntos!G15)*11," - ")</f>
        <v>23.483342147012166</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112</v>
      </c>
      <c r="D17" s="229">
        <f>IF(ISNUMBER(IF(D_I="SI",Datos!I17,Datos!I17+Datos!AC17)),IF(D_I="SI",Datos!I17,Datos!I17+Datos!AC17)," - ")</f>
        <v>110</v>
      </c>
      <c r="E17" s="230">
        <f>IF(ISNUMBER(IF(D_I="SI",Datos!J17,Datos!J17+Datos!AD17)),IF(D_I="SI",Datos!J17,Datos!J17+Datos!AD17)," - ")</f>
        <v>446</v>
      </c>
      <c r="F17" s="230">
        <f>IF(ISNUMBER(IF(D_I="SI",Datos!K17,Datos!K17+Datos!AE17)),IF(D_I="SI",Datos!K17,Datos!K17+Datos!AE17)," - ")</f>
        <v>455</v>
      </c>
      <c r="G17" s="1189" t="str">
        <f>IF(Datos!E17&lt;&gt;"",Datos!E17,Datos!D17)</f>
        <v>37</v>
      </c>
      <c r="H17" s="231">
        <f>IF(ISNUMBER(IF(D_I="SI",Datos!L17,Datos!L17+Datos!AF17)),IF(D_I="SI",Datos!L17,Datos!L17+Datos!AF17)," - ")</f>
        <v>103</v>
      </c>
      <c r="I17" s="1199" t="str">
        <f>IF(ISNUMBER(Datos!AS17/Datos!BM17),Datos!AS17/Datos!BM17," - ")</f>
        <v xml:space="preserve"> - </v>
      </c>
      <c r="J17" s="1200" t="str">
        <f>IF(ISNUMBER((Datos!BY17+Datos!BZ17)/Datos!CN17),(Datos!BY17+Datos!BZ17)/Datos!CN17," - ")</f>
        <v xml:space="preserve"> - </v>
      </c>
      <c r="K17" s="234">
        <f t="shared" si="3"/>
        <v>-8.0357142857142863E-2</v>
      </c>
      <c r="L17" s="1201">
        <f>IF(ISNUMBER(NºAsuntos!I17/NºAsuntos!G17),(NºAsuntos!I17/NºAsuntos!G17)*11," - ")</f>
        <v>2.4901098901098901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3317</v>
      </c>
      <c r="D18" s="1206">
        <f>SUBTOTAL(9,D15:D17)</f>
        <v>3308</v>
      </c>
      <c r="E18" s="1207">
        <f>SUBTOTAL(9,E15:E17)</f>
        <v>3169</v>
      </c>
      <c r="F18" s="1207">
        <f>SUBTOTAL(9,F15:F17)</f>
        <v>2346</v>
      </c>
      <c r="G18" s="1209" t="str">
        <f ca="1">INDIRECT(CONCATENATE("G",ROW()-1))</f>
        <v>37</v>
      </c>
      <c r="H18" s="1210">
        <f ca="1">SUMIF(G$14:G17,G18,H$14:H17)</f>
        <v>103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3451</v>
      </c>
      <c r="D19" s="1228">
        <f>SUBTOTAL(9,D9:D18)</f>
        <v>3442</v>
      </c>
      <c r="E19" s="1229">
        <f>SUBTOTAL(9,E9:E18)</f>
        <v>3240</v>
      </c>
      <c r="F19" s="1229">
        <f>SUBTOTAL(9,F9:F18)</f>
        <v>2426</v>
      </c>
      <c r="G19" s="1230"/>
      <c r="H19" s="1231">
        <f ca="1">SUMIF(B9:B18,"TOTAL",H9:H18)</f>
        <v>103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6ZMXbbukUnG0HOP/fr7Ly63pMx6rE3pMFA9gZWeOFvI5e3TY3pUfmKVJwHBH5L/wwYdR+LC6Pg1Lyn9VTGiwHw==" saltValue="mbpvaAASkyZH/jZjwxWoY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3hwhYCmGvk+nNvwCPr0W72DplIHSZLvmDSJdMFXjRkG2gWjiUh0YRIZNwaQRwcXUkd56cmfU3N9eK52zoCgQBQ==" saltValue="sx2li0DQDiDJ3UfdCQSNy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9699</v>
      </c>
      <c r="J9" s="185">
        <v>2329</v>
      </c>
      <c r="K9" s="185">
        <v>1298</v>
      </c>
      <c r="L9" s="185">
        <v>10710</v>
      </c>
      <c r="M9" s="185">
        <v>298</v>
      </c>
      <c r="N9" s="185">
        <v>390</v>
      </c>
      <c r="O9" s="185">
        <v>737</v>
      </c>
      <c r="P9" s="185">
        <v>408</v>
      </c>
      <c r="Q9" s="185">
        <v>207</v>
      </c>
      <c r="R9" s="185">
        <v>12949</v>
      </c>
      <c r="S9" s="185">
        <v>7950</v>
      </c>
      <c r="T9" s="185">
        <v>2241</v>
      </c>
      <c r="U9" s="185">
        <v>2121</v>
      </c>
      <c r="V9" s="185">
        <v>8070</v>
      </c>
      <c r="W9" s="185">
        <v>355</v>
      </c>
      <c r="X9" s="192">
        <v>917</v>
      </c>
      <c r="Y9" s="195">
        <v>465</v>
      </c>
      <c r="Z9" s="185">
        <v>140</v>
      </c>
      <c r="AA9" s="185">
        <v>124</v>
      </c>
      <c r="AB9" s="185">
        <v>443</v>
      </c>
      <c r="AC9" s="185">
        <v>0</v>
      </c>
      <c r="AD9" s="185">
        <v>0</v>
      </c>
      <c r="AE9" s="185">
        <v>0</v>
      </c>
      <c r="AF9" s="192">
        <v>0</v>
      </c>
      <c r="AG9" s="195">
        <v>416</v>
      </c>
      <c r="AH9" s="185">
        <v>181</v>
      </c>
      <c r="AI9" s="185">
        <v>221</v>
      </c>
      <c r="AJ9" s="196">
        <v>376</v>
      </c>
      <c r="AK9" s="184">
        <v>0</v>
      </c>
      <c r="AL9" s="185">
        <v>0</v>
      </c>
      <c r="AM9" s="185">
        <v>0</v>
      </c>
      <c r="AN9" s="192">
        <v>0</v>
      </c>
      <c r="AO9" s="262">
        <v>5</v>
      </c>
      <c r="AP9" s="158">
        <v>5</v>
      </c>
      <c r="AQ9" s="158">
        <v>5</v>
      </c>
      <c r="AR9" s="197">
        <v>5</v>
      </c>
      <c r="AS9" s="347" t="s">
        <v>808</v>
      </c>
      <c r="AT9" s="199"/>
      <c r="AU9" s="198"/>
      <c r="AV9" s="199"/>
      <c r="AW9" s="198"/>
      <c r="AX9" s="199"/>
      <c r="AY9" s="124">
        <f>IF(ISNUMBER(IF(J_V="SI",S9,S9+AG9)),IF(J_V="SI",S9,S9+AG9)," - ")</f>
        <v>8366</v>
      </c>
      <c r="AZ9" s="124">
        <f>IF(ISNUMBER(IF(J_V="SI",T9,T9+AH9)),IF(J_V="SI",T9,T9+AH9)," - ")</f>
        <v>2422</v>
      </c>
      <c r="BA9" s="125">
        <f>IF(ISNUMBER(IF(J_V="SI",U9,U9+AI9)),IF(J_V="SI",U9,U9+AI9)," - ")</f>
        <v>2342</v>
      </c>
      <c r="BB9" s="125">
        <f>IF(ISNUMBER(IF(J_V="SI",V9,V9+AJ9)),IF(J_V="SI",V9,V9+AJ9)," - ")</f>
        <v>8446</v>
      </c>
      <c r="BC9" s="126">
        <f>IF(ISNUMBER(X9),X9," - ")</f>
        <v>917</v>
      </c>
      <c r="BD9" s="127">
        <f>IF(ISNUMBER(BA9/AZ9),BA9/AZ9," - ")</f>
        <v>0.96696944673823282</v>
      </c>
      <c r="BE9" s="128">
        <f>IF(ISNUMBER(BB9/BA9),BB9/BA9, " - ")</f>
        <v>3.606319385140905</v>
      </c>
      <c r="BF9" s="128">
        <f>IF(ISNUMBER(BC9/BA9),BC9/BA9, " - ")</f>
        <v>0.39154568744662682</v>
      </c>
      <c r="BG9" s="200">
        <f>IF(ISNUMBER((AY9+AZ9)/BA9),(AY9+AZ9)/BA9," - ")</f>
        <v>4.606319385140905</v>
      </c>
      <c r="BH9" s="158">
        <v>5</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134</v>
      </c>
      <c r="J10" s="185">
        <v>71</v>
      </c>
      <c r="K10" s="185">
        <v>80</v>
      </c>
      <c r="L10" s="185">
        <v>125</v>
      </c>
      <c r="M10" s="185">
        <v>40</v>
      </c>
      <c r="N10" s="185">
        <v>33</v>
      </c>
      <c r="O10" s="185">
        <v>9</v>
      </c>
      <c r="P10" s="185">
        <v>12</v>
      </c>
      <c r="Q10" s="185">
        <v>21</v>
      </c>
      <c r="R10" s="185">
        <v>149</v>
      </c>
      <c r="S10" s="185">
        <v>100</v>
      </c>
      <c r="T10" s="185">
        <v>76</v>
      </c>
      <c r="U10" s="185">
        <v>68</v>
      </c>
      <c r="V10" s="185">
        <v>103</v>
      </c>
      <c r="W10" s="185">
        <v>17</v>
      </c>
      <c r="X10" s="192">
        <v>27</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100</v>
      </c>
      <c r="AZ10" s="130">
        <f t="shared" si="0"/>
        <v>76</v>
      </c>
      <c r="BA10" s="130">
        <f t="shared" si="0"/>
        <v>68</v>
      </c>
      <c r="BB10" s="130">
        <f t="shared" si="0"/>
        <v>103</v>
      </c>
      <c r="BC10" s="126">
        <f t="shared" si="0"/>
        <v>17</v>
      </c>
      <c r="BD10" s="127">
        <f>IF(ISNUMBER(BA10/AZ10),BA10/AZ10," - ")</f>
        <v>0.89473684210526316</v>
      </c>
      <c r="BE10" s="128">
        <f>IF(ISNUMBER(BB10/BA10),BB10/BA10, " - ")</f>
        <v>1.5147058823529411</v>
      </c>
      <c r="BF10" s="128">
        <f>IF(ISNUMBER(BC10/BA10),BC10/BA10, " - ")</f>
        <v>0.25</v>
      </c>
      <c r="BG10" s="200">
        <f>IF(ISNUMBER((AY10+AZ10)/BA10),(AY10+AZ10)/BA10," - ")</f>
        <v>2.5882352941176472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1490</v>
      </c>
      <c r="J11" s="187">
        <v>770</v>
      </c>
      <c r="K11" s="187">
        <v>419</v>
      </c>
      <c r="L11" s="187">
        <v>1842</v>
      </c>
      <c r="M11" s="187">
        <v>81</v>
      </c>
      <c r="N11" s="187">
        <v>247</v>
      </c>
      <c r="O11" s="185">
        <v>214</v>
      </c>
      <c r="P11" s="187">
        <v>109</v>
      </c>
      <c r="Q11" s="187">
        <v>128</v>
      </c>
      <c r="R11" s="187">
        <v>917</v>
      </c>
      <c r="S11" s="187">
        <v>1355</v>
      </c>
      <c r="T11" s="187">
        <v>666</v>
      </c>
      <c r="U11" s="187">
        <v>723</v>
      </c>
      <c r="V11" s="187">
        <v>1286</v>
      </c>
      <c r="W11" s="187">
        <v>225</v>
      </c>
      <c r="X11" s="193">
        <v>396</v>
      </c>
      <c r="Y11" s="195">
        <v>130</v>
      </c>
      <c r="Z11" s="185">
        <v>153</v>
      </c>
      <c r="AA11" s="185">
        <v>110</v>
      </c>
      <c r="AB11" s="185">
        <v>172</v>
      </c>
      <c r="AC11" s="187">
        <v>0</v>
      </c>
      <c r="AD11" s="187">
        <v>0</v>
      </c>
      <c r="AE11" s="187">
        <v>0</v>
      </c>
      <c r="AF11" s="193">
        <v>0</v>
      </c>
      <c r="AG11" s="206">
        <v>160</v>
      </c>
      <c r="AH11" s="187">
        <v>86</v>
      </c>
      <c r="AI11" s="187">
        <v>110</v>
      </c>
      <c r="AJ11" s="207">
        <v>134</v>
      </c>
      <c r="AK11" s="186">
        <v>0</v>
      </c>
      <c r="AL11" s="187">
        <v>0</v>
      </c>
      <c r="AM11" s="187">
        <v>0</v>
      </c>
      <c r="AN11" s="193">
        <v>0</v>
      </c>
      <c r="AO11" s="263">
        <v>2</v>
      </c>
      <c r="AP11" s="159">
        <v>2</v>
      </c>
      <c r="AQ11" s="159">
        <v>2</v>
      </c>
      <c r="AR11" s="158">
        <v>2</v>
      </c>
      <c r="AS11" s="349" t="s">
        <v>810</v>
      </c>
      <c r="AT11" s="207"/>
      <c r="AU11" s="206"/>
      <c r="AV11" s="207"/>
      <c r="AW11" s="206"/>
      <c r="AX11" s="207"/>
      <c r="AY11" s="127">
        <f t="shared" ref="AY11:BB12" si="1">IF(ISNUMBER(IF(J_V="SI",S11,S11+AG11)),IF(J_V="SI",S11,S11+AG11)," - ")</f>
        <v>1515</v>
      </c>
      <c r="AZ11" s="128">
        <f t="shared" si="1"/>
        <v>752</v>
      </c>
      <c r="BA11" s="128">
        <f t="shared" si="1"/>
        <v>833</v>
      </c>
      <c r="BB11" s="128">
        <f t="shared" si="1"/>
        <v>1420</v>
      </c>
      <c r="BC11" s="126">
        <f>IF(ISNUMBER(X11),X11," - ")</f>
        <v>396</v>
      </c>
      <c r="BD11" s="127">
        <f t="shared" ref="BD11:BD12" si="2">IF(ISNUMBER(BA11/AZ11),BA11/AZ11," - ")</f>
        <v>1.1077127659574468</v>
      </c>
      <c r="BE11" s="128">
        <f t="shared" ref="BE11:BE12" si="3">IF(ISNUMBER(BB11/BA11),BB11/BA11, " - ")</f>
        <v>1.7046818727490995</v>
      </c>
      <c r="BF11" s="128">
        <f t="shared" ref="BF11:BF12" si="4">IF(ISNUMBER(BC11/BA11),BC11/BA11, " - ")</f>
        <v>0.47539015606242496</v>
      </c>
      <c r="BG11" s="200">
        <f t="shared" ref="BG11:BG12" si="5">IF(ISNUMBER((AY11+AZ11)/BA11),(AY11+AZ11)/BA11," - ")</f>
        <v>2.7214885954381751</v>
      </c>
      <c r="BH11" s="159">
        <v>2</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11323</v>
      </c>
      <c r="J13" s="188">
        <f t="shared" si="6"/>
        <v>3170</v>
      </c>
      <c r="K13" s="188">
        <f t="shared" si="6"/>
        <v>1797</v>
      </c>
      <c r="L13" s="188">
        <f t="shared" si="6"/>
        <v>12677</v>
      </c>
      <c r="M13" s="188">
        <f t="shared" si="6"/>
        <v>419</v>
      </c>
      <c r="N13" s="188">
        <f t="shared" si="6"/>
        <v>670</v>
      </c>
      <c r="O13" s="188">
        <f t="shared" si="6"/>
        <v>960</v>
      </c>
      <c r="P13" s="188">
        <f t="shared" si="6"/>
        <v>529</v>
      </c>
      <c r="Q13" s="188">
        <f t="shared" si="6"/>
        <v>356</v>
      </c>
      <c r="R13" s="188">
        <f t="shared" si="6"/>
        <v>14015</v>
      </c>
      <c r="S13" s="188">
        <f t="shared" si="6"/>
        <v>9405</v>
      </c>
      <c r="T13" s="188">
        <f t="shared" si="6"/>
        <v>2983</v>
      </c>
      <c r="U13" s="188">
        <f t="shared" si="6"/>
        <v>2912</v>
      </c>
      <c r="V13" s="188">
        <f t="shared" si="6"/>
        <v>9459</v>
      </c>
      <c r="W13" s="188">
        <f t="shared" si="6"/>
        <v>597</v>
      </c>
      <c r="X13" s="188">
        <f t="shared" si="6"/>
        <v>1340</v>
      </c>
      <c r="Y13" s="188">
        <f t="shared" si="6"/>
        <v>595</v>
      </c>
      <c r="Z13" s="188">
        <f t="shared" si="6"/>
        <v>293</v>
      </c>
      <c r="AA13" s="188">
        <f t="shared" si="6"/>
        <v>234</v>
      </c>
      <c r="AB13" s="188">
        <f t="shared" si="6"/>
        <v>615</v>
      </c>
      <c r="AC13" s="188">
        <f t="shared" si="6"/>
        <v>0</v>
      </c>
      <c r="AD13" s="188">
        <f t="shared" si="6"/>
        <v>0</v>
      </c>
      <c r="AE13" s="188">
        <f t="shared" si="6"/>
        <v>0</v>
      </c>
      <c r="AF13" s="188">
        <f>SUBTOTAL(9,AF9:AF12)</f>
        <v>0</v>
      </c>
      <c r="AG13" s="188">
        <f t="shared" ref="AG13:AT13" si="7">SUBTOTAL(9,AG8:AG12)</f>
        <v>576</v>
      </c>
      <c r="AH13" s="188">
        <f t="shared" si="7"/>
        <v>267</v>
      </c>
      <c r="AI13" s="188">
        <f t="shared" si="7"/>
        <v>331</v>
      </c>
      <c r="AJ13" s="188">
        <f t="shared" si="7"/>
        <v>510</v>
      </c>
      <c r="AK13" s="188">
        <f t="shared" si="7"/>
        <v>0</v>
      </c>
      <c r="AL13" s="188">
        <f t="shared" si="7"/>
        <v>0</v>
      </c>
      <c r="AM13" s="188">
        <f t="shared" si="7"/>
        <v>0</v>
      </c>
      <c r="AN13" s="188">
        <f t="shared" si="7"/>
        <v>0</v>
      </c>
      <c r="AO13" s="188">
        <f t="shared" si="7"/>
        <v>8</v>
      </c>
      <c r="AP13" s="188">
        <f t="shared" si="7"/>
        <v>8</v>
      </c>
      <c r="AQ13" s="188">
        <f t="shared" si="7"/>
        <v>8</v>
      </c>
      <c r="AR13" s="188">
        <f t="shared" si="7"/>
        <v>8</v>
      </c>
      <c r="AS13" s="188">
        <f t="shared" si="7"/>
        <v>0</v>
      </c>
      <c r="AT13" s="188">
        <f t="shared" si="7"/>
        <v>0</v>
      </c>
      <c r="AU13" s="208"/>
      <c r="AV13" s="133"/>
      <c r="AW13" s="208"/>
      <c r="AX13" s="133"/>
      <c r="AY13" s="188">
        <f>SUBTOTAL(9,AY8:AY12)</f>
        <v>9981</v>
      </c>
      <c r="AZ13" s="188">
        <f>SUBTOTAL(9,AZ8:AZ12)</f>
        <v>3250</v>
      </c>
      <c r="BA13" s="188">
        <f>SUBTOTAL(9,BA8:BA12)</f>
        <v>3243</v>
      </c>
      <c r="BB13" s="188">
        <f>SUBTOTAL(9,BB8:BB12)</f>
        <v>9969</v>
      </c>
      <c r="BC13" s="188">
        <f>SUBTOTAL(9,BC8:BC12)</f>
        <v>1330</v>
      </c>
      <c r="BD13" s="209">
        <f>IF(ISNUMBER(BA13/AZ13),BA13/AZ13," - ")</f>
        <v>0.99784615384615383</v>
      </c>
      <c r="BE13" s="210">
        <f>IF(ISNUMBER(BB13/BA13),BB13/BA13, " - ")</f>
        <v>3.0740055504162811</v>
      </c>
      <c r="BF13" s="210">
        <f>IF(ISNUMBER(BC13/BA13),BC13/BA13, " - ")</f>
        <v>0.41011409189022507</v>
      </c>
      <c r="BG13" s="211">
        <f>IF(ISNUMBER((AY13+AZ13)/BA13),(AY13+AZ13)/BA13," - ")</f>
        <v>4.0798643231575697</v>
      </c>
      <c r="BH13" s="144">
        <f>SUBTOTAL(9,BH8:BH12)</f>
        <v>8</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3198</v>
      </c>
      <c r="J15" s="187">
        <v>2723</v>
      </c>
      <c r="K15" s="187">
        <v>1891</v>
      </c>
      <c r="L15" s="187">
        <v>4037</v>
      </c>
      <c r="M15" s="187">
        <v>314</v>
      </c>
      <c r="N15" s="187">
        <v>1013</v>
      </c>
      <c r="O15" s="185">
        <v>45</v>
      </c>
      <c r="P15" s="187">
        <v>44</v>
      </c>
      <c r="Q15" s="187">
        <v>84</v>
      </c>
      <c r="R15" s="187">
        <v>541</v>
      </c>
      <c r="S15" s="187">
        <v>2372</v>
      </c>
      <c r="T15" s="187">
        <v>3324</v>
      </c>
      <c r="U15" s="187">
        <v>3200</v>
      </c>
      <c r="V15" s="187">
        <v>2477</v>
      </c>
      <c r="W15" s="187">
        <v>536</v>
      </c>
      <c r="X15" s="193">
        <v>1750</v>
      </c>
      <c r="Y15" s="206">
        <v>0</v>
      </c>
      <c r="Z15" s="187">
        <v>0</v>
      </c>
      <c r="AA15" s="187">
        <v>0</v>
      </c>
      <c r="AB15" s="187">
        <v>0</v>
      </c>
      <c r="AC15" s="187">
        <v>0</v>
      </c>
      <c r="AD15" s="187">
        <v>1</v>
      </c>
      <c r="AE15" s="187">
        <v>0</v>
      </c>
      <c r="AF15" s="193">
        <v>1</v>
      </c>
      <c r="AG15" s="206">
        <v>0</v>
      </c>
      <c r="AH15" s="187">
        <v>0</v>
      </c>
      <c r="AI15" s="187">
        <v>0</v>
      </c>
      <c r="AJ15" s="207">
        <v>0</v>
      </c>
      <c r="AK15" s="186">
        <v>2</v>
      </c>
      <c r="AL15" s="187">
        <v>1</v>
      </c>
      <c r="AM15" s="187">
        <v>3</v>
      </c>
      <c r="AN15" s="193">
        <v>0</v>
      </c>
      <c r="AO15" s="263">
        <v>5</v>
      </c>
      <c r="AP15" s="159">
        <v>5</v>
      </c>
      <c r="AQ15" s="159">
        <v>5</v>
      </c>
      <c r="AR15" s="159">
        <v>5</v>
      </c>
      <c r="AS15" s="349" t="s">
        <v>531</v>
      </c>
      <c r="AT15" s="207" t="s">
        <v>329</v>
      </c>
      <c r="AU15" s="206"/>
      <c r="AV15" s="207"/>
      <c r="AW15" s="206"/>
      <c r="AX15" s="207"/>
      <c r="AY15" s="129">
        <f t="shared" ref="AY15:BB16" si="9">IF(ISNUMBER(IF(D_I="SI",S15,S15+AK15)),IF(D_I="SI",S15,S15+AK15)," - ")</f>
        <v>2372</v>
      </c>
      <c r="AZ15" s="130">
        <f t="shared" si="9"/>
        <v>3324</v>
      </c>
      <c r="BA15" s="130">
        <f t="shared" si="9"/>
        <v>3200</v>
      </c>
      <c r="BB15" s="130">
        <f t="shared" si="9"/>
        <v>2477</v>
      </c>
      <c r="BC15" s="126">
        <f>IF(ISNUMBER(W15),W15," - ")</f>
        <v>536</v>
      </c>
      <c r="BD15" s="127">
        <f>IF(ISNUMBER(BA15/AZ15),BA15/AZ15," - ")</f>
        <v>0.96269554753309261</v>
      </c>
      <c r="BE15" s="128">
        <f>IF(ISNUMBER(BB15/BA15),BB15/BA15, " - ")</f>
        <v>0.77406249999999999</v>
      </c>
      <c r="BF15" s="128">
        <f>IF(ISNUMBER(BC15/BA15),BC15/BA15, " - ")</f>
        <v>0.16750000000000001</v>
      </c>
      <c r="BG15" s="200">
        <f t="shared" ref="BG15:BG16" si="10">IF(ISNUMBER((AY15+AZ15)/BA15),(AY15+AZ15)/BA15," - ")</f>
        <v>1.78</v>
      </c>
      <c r="BH15" s="159">
        <v>5</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110</v>
      </c>
      <c r="J17" s="187">
        <v>446</v>
      </c>
      <c r="K17" s="187">
        <v>455</v>
      </c>
      <c r="L17" s="187">
        <v>103</v>
      </c>
      <c r="M17" s="187">
        <v>111</v>
      </c>
      <c r="N17" s="187">
        <v>254</v>
      </c>
      <c r="O17" s="187">
        <v>16</v>
      </c>
      <c r="P17" s="187">
        <v>16</v>
      </c>
      <c r="Q17" s="187">
        <v>16</v>
      </c>
      <c r="R17" s="187">
        <v>32</v>
      </c>
      <c r="S17" s="187">
        <v>129</v>
      </c>
      <c r="T17" s="187">
        <v>414</v>
      </c>
      <c r="U17" s="187">
        <v>404</v>
      </c>
      <c r="V17" s="187">
        <v>139</v>
      </c>
      <c r="W17" s="187">
        <v>89</v>
      </c>
      <c r="X17" s="193">
        <v>222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129</v>
      </c>
      <c r="AZ17" s="130">
        <f t="shared" si="14"/>
        <v>414</v>
      </c>
      <c r="BA17" s="130">
        <f t="shared" si="14"/>
        <v>404</v>
      </c>
      <c r="BB17" s="130">
        <f t="shared" si="14"/>
        <v>139</v>
      </c>
      <c r="BC17" s="126">
        <f>IF(ISNUMBER(W17),W17," - ")</f>
        <v>89</v>
      </c>
      <c r="BD17" s="127">
        <f>IF(ISNUMBER(BA17/AZ17),BA17/AZ17," - ")</f>
        <v>0.97584541062801933</v>
      </c>
      <c r="BE17" s="128">
        <f>IF(ISNUMBER(BB17/BA17),BB17/BA17, " - ")</f>
        <v>0.34405940594059403</v>
      </c>
      <c r="BF17" s="128">
        <f>IF(ISNUMBER(BC17/BA17),BC17/BA17, " - ")</f>
        <v>0.2202970297029703</v>
      </c>
      <c r="BG17" s="200">
        <f>IF(ISNUMBER((AY17+AZ17)/BA17),(AY17+AZ17)/BA17," - ")</f>
        <v>1.3440594059405941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3308</v>
      </c>
      <c r="J18" s="188">
        <f t="shared" si="15"/>
        <v>3169</v>
      </c>
      <c r="K18" s="188">
        <f t="shared" si="15"/>
        <v>2346</v>
      </c>
      <c r="L18" s="188">
        <f t="shared" si="15"/>
        <v>4140</v>
      </c>
      <c r="M18" s="188">
        <f t="shared" si="15"/>
        <v>425</v>
      </c>
      <c r="N18" s="188">
        <f t="shared" si="15"/>
        <v>1267</v>
      </c>
      <c r="O18" s="188">
        <f t="shared" si="15"/>
        <v>61</v>
      </c>
      <c r="P18" s="188">
        <f t="shared" si="15"/>
        <v>60</v>
      </c>
      <c r="Q18" s="188">
        <f t="shared" si="15"/>
        <v>100</v>
      </c>
      <c r="R18" s="188">
        <f t="shared" si="15"/>
        <v>573</v>
      </c>
      <c r="S18" s="188">
        <f t="shared" si="15"/>
        <v>2501</v>
      </c>
      <c r="T18" s="188">
        <f t="shared" si="15"/>
        <v>3738</v>
      </c>
      <c r="U18" s="188">
        <f t="shared" si="15"/>
        <v>3604</v>
      </c>
      <c r="V18" s="188">
        <f t="shared" si="15"/>
        <v>2616</v>
      </c>
      <c r="W18" s="188">
        <f t="shared" si="15"/>
        <v>625</v>
      </c>
      <c r="X18" s="188">
        <f t="shared" si="15"/>
        <v>1972</v>
      </c>
      <c r="Y18" s="188">
        <f t="shared" si="15"/>
        <v>0</v>
      </c>
      <c r="Z18" s="188">
        <f t="shared" si="15"/>
        <v>0</v>
      </c>
      <c r="AA18" s="188">
        <f t="shared" si="15"/>
        <v>0</v>
      </c>
      <c r="AB18" s="188">
        <f t="shared" si="15"/>
        <v>0</v>
      </c>
      <c r="AC18" s="188">
        <f t="shared" si="15"/>
        <v>0</v>
      </c>
      <c r="AD18" s="188">
        <f t="shared" si="15"/>
        <v>1</v>
      </c>
      <c r="AE18" s="188">
        <f t="shared" si="15"/>
        <v>0</v>
      </c>
      <c r="AF18" s="188">
        <f t="shared" si="15"/>
        <v>1</v>
      </c>
      <c r="AG18" s="188">
        <f t="shared" si="15"/>
        <v>0</v>
      </c>
      <c r="AH18" s="188">
        <f t="shared" si="15"/>
        <v>0</v>
      </c>
      <c r="AI18" s="188">
        <f t="shared" si="15"/>
        <v>0</v>
      </c>
      <c r="AJ18" s="188">
        <f t="shared" si="15"/>
        <v>0</v>
      </c>
      <c r="AK18" s="188">
        <f t="shared" si="15"/>
        <v>2</v>
      </c>
      <c r="AL18" s="188">
        <f t="shared" si="15"/>
        <v>1</v>
      </c>
      <c r="AM18" s="188">
        <f t="shared" si="15"/>
        <v>3</v>
      </c>
      <c r="AN18" s="188">
        <f t="shared" si="15"/>
        <v>0</v>
      </c>
      <c r="AO18" s="188">
        <f t="shared" si="15"/>
        <v>6</v>
      </c>
      <c r="AP18" s="188">
        <f t="shared" si="15"/>
        <v>6</v>
      </c>
      <c r="AQ18" s="188">
        <f t="shared" si="15"/>
        <v>6</v>
      </c>
      <c r="AR18" s="188">
        <f t="shared" si="15"/>
        <v>6</v>
      </c>
      <c r="AS18" s="188">
        <f t="shared" si="15"/>
        <v>0</v>
      </c>
      <c r="AT18" s="188">
        <f t="shared" si="15"/>
        <v>0</v>
      </c>
      <c r="AU18" s="208"/>
      <c r="AV18" s="133"/>
      <c r="AW18" s="208"/>
      <c r="AX18" s="133"/>
      <c r="AY18" s="188">
        <f>SUBTOTAL(9,AY14:AY17)</f>
        <v>2501</v>
      </c>
      <c r="AZ18" s="188">
        <f>SUBTOTAL(9,AZ14:AZ17)</f>
        <v>3738</v>
      </c>
      <c r="BA18" s="188">
        <f>SUBTOTAL(9,BA14:BA17)</f>
        <v>3604</v>
      </c>
      <c r="BB18" s="188">
        <f>SUBTOTAL(9,BB14:BB17)</f>
        <v>2616</v>
      </c>
      <c r="BC18" s="188">
        <f>SUBTOTAL(9,BC14:BC17)</f>
        <v>625</v>
      </c>
      <c r="BD18" s="209">
        <f>IF(ISNUMBER(BA18/AZ18),BA18/AZ18," - ")</f>
        <v>0.96415195291599787</v>
      </c>
      <c r="BE18" s="210">
        <f>IF(ISNUMBER(BB18/BA18),BB18/BA18, " - ")</f>
        <v>0.72586015538290793</v>
      </c>
      <c r="BF18" s="210">
        <f>IF(ISNUMBER(BC18/BA18),BC18/BA18, " - ")</f>
        <v>0.17341842397336293</v>
      </c>
      <c r="BG18" s="211">
        <f>IF(ISNUMBER((AY18+AZ18)/BA18),(AY18+AZ18)/BA18," - ")</f>
        <v>1.7311320754716981</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14631</v>
      </c>
      <c r="J19" s="135">
        <f t="shared" si="18"/>
        <v>6339</v>
      </c>
      <c r="K19" s="135">
        <f t="shared" si="18"/>
        <v>4143</v>
      </c>
      <c r="L19" s="135">
        <f t="shared" si="18"/>
        <v>16817</v>
      </c>
      <c r="M19" s="135">
        <f t="shared" si="18"/>
        <v>844</v>
      </c>
      <c r="N19" s="135">
        <f t="shared" si="18"/>
        <v>1937</v>
      </c>
      <c r="O19" s="135">
        <f t="shared" si="18"/>
        <v>1021</v>
      </c>
      <c r="P19" s="135">
        <f t="shared" si="18"/>
        <v>589</v>
      </c>
      <c r="Q19" s="135">
        <f t="shared" si="18"/>
        <v>456</v>
      </c>
      <c r="R19" s="135">
        <f t="shared" si="18"/>
        <v>14588</v>
      </c>
      <c r="S19" s="135">
        <f t="shared" si="18"/>
        <v>11906</v>
      </c>
      <c r="T19" s="135">
        <f t="shared" si="18"/>
        <v>6721</v>
      </c>
      <c r="U19" s="135">
        <f t="shared" si="18"/>
        <v>6516</v>
      </c>
      <c r="V19" s="135">
        <f t="shared" si="18"/>
        <v>12075</v>
      </c>
      <c r="W19" s="135">
        <f t="shared" si="18"/>
        <v>1222</v>
      </c>
      <c r="X19" s="135">
        <f t="shared" si="18"/>
        <v>3312</v>
      </c>
      <c r="Y19" s="135">
        <f t="shared" si="18"/>
        <v>595</v>
      </c>
      <c r="Z19" s="135">
        <f t="shared" si="18"/>
        <v>293</v>
      </c>
      <c r="AA19" s="135">
        <f t="shared" si="18"/>
        <v>234</v>
      </c>
      <c r="AB19" s="135">
        <f t="shared" si="18"/>
        <v>615</v>
      </c>
      <c r="AC19" s="135">
        <f t="shared" si="18"/>
        <v>0</v>
      </c>
      <c r="AD19" s="135">
        <f t="shared" si="18"/>
        <v>1</v>
      </c>
      <c r="AE19" s="135">
        <f t="shared" si="18"/>
        <v>0</v>
      </c>
      <c r="AF19" s="135">
        <f t="shared" si="18"/>
        <v>1</v>
      </c>
      <c r="AG19" s="135">
        <f t="shared" si="18"/>
        <v>576</v>
      </c>
      <c r="AH19" s="135">
        <f t="shared" si="18"/>
        <v>267</v>
      </c>
      <c r="AI19" s="135">
        <f t="shared" si="18"/>
        <v>331</v>
      </c>
      <c r="AJ19" s="135">
        <f t="shared" si="18"/>
        <v>510</v>
      </c>
      <c r="AK19" s="135">
        <f t="shared" si="18"/>
        <v>2</v>
      </c>
      <c r="AL19" s="135">
        <f t="shared" si="18"/>
        <v>1</v>
      </c>
      <c r="AM19" s="135">
        <f t="shared" si="18"/>
        <v>3</v>
      </c>
      <c r="AN19" s="214">
        <f t="shared" si="18"/>
        <v>0</v>
      </c>
      <c r="AO19" s="215">
        <v>13</v>
      </c>
      <c r="AP19" s="215">
        <v>13</v>
      </c>
      <c r="AQ19" s="215">
        <v>13</v>
      </c>
      <c r="AR19" s="215">
        <v>13</v>
      </c>
      <c r="AS19" s="157">
        <f t="shared" si="18"/>
        <v>0</v>
      </c>
      <c r="AT19" s="157">
        <f t="shared" si="18"/>
        <v>0</v>
      </c>
      <c r="AU19" s="215"/>
      <c r="AV19" s="216"/>
      <c r="AW19" s="215"/>
      <c r="AX19" s="216"/>
      <c r="AY19" s="134">
        <f>SUBTOTAL(9,AY9:AY18)</f>
        <v>12482</v>
      </c>
      <c r="AZ19" s="135">
        <f>SUBTOTAL(9,AZ9:AZ18)</f>
        <v>6988</v>
      </c>
      <c r="BA19" s="135">
        <f>SUBTOTAL(9,BA9:BA18)</f>
        <v>6847</v>
      </c>
      <c r="BB19" s="135">
        <f>SUBTOTAL(9,BB9:BB18)</f>
        <v>12585</v>
      </c>
      <c r="BC19" s="136">
        <f>SUBTOTAL(9,BC9:BC18)</f>
        <v>1955</v>
      </c>
      <c r="BD19" s="217">
        <f>IF(ISNUMBER(BA19/AZ19),BA19/AZ19," - ")</f>
        <v>0.97982255294791065</v>
      </c>
      <c r="BE19" s="214">
        <f>IF(ISNUMBER(BB19/BA19),BB19/BA19, " - ")</f>
        <v>1.8380312545640427</v>
      </c>
      <c r="BF19" s="214">
        <f>IF(ISNUMBER(BC19/BA19),BC19/BA19, " - ")</f>
        <v>0.28552650795969037</v>
      </c>
      <c r="BG19" s="136">
        <f>IF(ISNUMBER((AY19+AZ19)/BA19),(AY19+AZ19)/BA19," - ")</f>
        <v>2.8435811304220828</v>
      </c>
      <c r="BH19" s="215">
        <f>SUBTOTAL(9,BH9:BH18)</f>
        <v>14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97LH8H/nS64s6COREkmje4UtH9i/dzAKcPQLmIPCEuYss4k9RtO+UShNFWK1wSSDfTYkA6K75T3t9C930PBw==" saltValue="Swwm6B8jXQjuJIaezyUlU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9iI0XICPgHY5tfIIr2gCaDAzB3aooJ5FUhKPwcH+i+xPfF0bC+r8tJCXu6aZqqAjW9Gh6gxvhJWkmsicheeQNw==" saltValue="PurcNE5RRsVVsVzggh2aH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REGION DE MURCIA</v>
      </c>
      <c r="F1" s="531"/>
    </row>
    <row r="2" spans="1:74" ht="16.5" customHeight="1">
      <c r="C2" s="520" t="str">
        <f>Criterios!A10 &amp;"  "&amp;Criterios!B10 &amp; "  " &amp; IF(NOT(ISBLANK(Criterios!A11)),Criterios!A11 &amp;"  "&amp;Criterios!B11,"")</f>
        <v>Provincias  MURCIA  Resumenes por Partidos Judiciales  CARTAGENA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5</v>
      </c>
      <c r="B9" s="652" t="s">
        <v>249</v>
      </c>
      <c r="C9" s="670" t="str">
        <f>Datos!A9</f>
        <v xml:space="preserve">Jdos. 1ª Instancia   </v>
      </c>
      <c r="D9" s="543"/>
      <c r="E9" s="669">
        <f>IF(ISNUMBER(Datos!AQ9),Datos!AQ9," - ")</f>
        <v>5</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140</v>
      </c>
      <c r="O9" s="503"/>
      <c r="P9" s="503"/>
      <c r="Q9" s="501">
        <f>IF(ISNUMBER(Datos!P9),Datos!P9,0)</f>
        <v>408</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207</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443</v>
      </c>
      <c r="AI9" s="503" t="str">
        <f>IF(ISNUMBER(Datos!CD9),Datos!CD9,"-")</f>
        <v>-</v>
      </c>
      <c r="AJ9" s="503" t="str">
        <f>IF(ISNUMBER(Datos!EN9),Datos!EN9," - ")</f>
        <v xml:space="preserve"> - </v>
      </c>
      <c r="AK9" s="503"/>
      <c r="AL9" s="504"/>
      <c r="AM9" s="671">
        <f>IF(ISNUMBER(Datos!R9),Datos!R9," - ")</f>
        <v>12949</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298</v>
      </c>
      <c r="BD9" s="619">
        <f>IF(ISNUMBER(Datos!N9),Datos!N9," - ")</f>
        <v>390</v>
      </c>
      <c r="BE9" s="619" t="str">
        <f>IF(ISNUMBER(Datos!BW9),Datos!BW9," - ")</f>
        <v xml:space="preserve"> - </v>
      </c>
      <c r="BF9" s="667" t="str">
        <f>IF(ISNUMBER(Datos!BX9),Datos!BX9," - ")</f>
        <v xml:space="preserve"> - </v>
      </c>
      <c r="BG9" s="668">
        <f>IF(ISNUMBER(IF(J_V="SI",Datos!K9/Datos!J9,(Datos!K9+Datos!AA9)/(Datos!J9+Datos!Z9))),IF(J_V="SI",Datos!K9/Datos!J9,(Datos!K9+Datos!AA9)/(Datos!J9+Datos!Z9))," - ")</f>
        <v>0.57594167679222352</v>
      </c>
      <c r="BH9" s="669">
        <f>IF(ISNUMBER(((IF(J_V="SI",Datos!L9/Datos!K9,(Datos!L9+Datos!AB9)/(Datos!K9+Datos!AA9)))*11)/factor_trimestre),((IF(J_V="SI",Datos!L9/Datos!K9,(Datos!L9+Datos!AB9)/(Datos!K9+Datos!AA9)))*11)/factor_trimestre," - ")</f>
        <v>23.5295358649789</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1.5767179165359271E-2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134</v>
      </c>
      <c r="G10" s="497">
        <f>IF(ISNUMBER(Datos!I10),Datos!I10," - ")</f>
        <v>134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80</v>
      </c>
      <c r="AC10" s="501">
        <f>IF(ISNUMBER(Datos!Q10),Datos!Q10," - ")</f>
        <v>21</v>
      </c>
      <c r="AD10" s="503"/>
      <c r="AE10" s="516"/>
      <c r="AF10" s="505">
        <f>IF(ISNUMBER(Datos!L10),Datos!L10,"-")</f>
        <v>125</v>
      </c>
      <c r="AG10" s="503"/>
      <c r="AH10" s="503"/>
      <c r="AI10" s="503"/>
      <c r="AJ10" s="503"/>
      <c r="AK10" s="503"/>
      <c r="AL10" s="504"/>
      <c r="AM10" s="671">
        <f>IF(ISNUMBER(Datos!R10),Datos!R10," - ")</f>
        <v>149</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40</v>
      </c>
      <c r="BD10" s="619">
        <f>IF(ISNUMBER(Datos!N10),Datos!N10," - ")</f>
        <v>33</v>
      </c>
      <c r="BE10" s="619" t="str">
        <f>IF(ISNUMBER(Datos!BW10),Datos!BW10," - ")</f>
        <v xml:space="preserve"> - </v>
      </c>
      <c r="BF10" s="667" t="str">
        <f>IF(ISNUMBER(Datos!BX10),Datos!BX10," - ")</f>
        <v xml:space="preserve"> - </v>
      </c>
      <c r="BG10" s="668">
        <f>IF(ISNUMBER(Datos!K10/Datos!J10),Datos!K10/Datos!J10," - ")</f>
        <v>1.1267605633802817</v>
      </c>
      <c r="BH10" s="669">
        <f>IF(ISNUMBER(((Datos!L10/Datos!K10)*11)/factor_trimestre),((Datos!L10/Datos!K10)*11)/factor_trimestre," - ")</f>
        <v>4.6875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-5.6962025316455694E-2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2</v>
      </c>
      <c r="B11" s="653" t="s">
        <v>249</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153</v>
      </c>
      <c r="O11" s="503"/>
      <c r="P11" s="503"/>
      <c r="Q11" s="501">
        <f>IF(ISNUMBER(Datos!P11),Datos!P11,0)</f>
        <v>109</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128</v>
      </c>
      <c r="AD11" s="503"/>
      <c r="AE11" s="516"/>
      <c r="AF11" s="505" t="str">
        <f>IF(ISNUMBER(IF(J_V="SI",Datos!L11,Datos!L11+Datos!AB11)-IF(Monitorios="SI",Datos!CD11,0)),
                          IF(J_V="SI",Datos!L11,Datos!L11+Datos!AB11)-IF(Monitorios="SI",Datos!CD11,0),
                          " - ")</f>
        <v xml:space="preserve"> - </v>
      </c>
      <c r="AG11" s="503"/>
      <c r="AH11" s="503">
        <f>IF(ISNUMBER(Datos!AB11),Datos!AB11,"-")</f>
        <v>172</v>
      </c>
      <c r="AI11" s="503"/>
      <c r="AJ11" s="503"/>
      <c r="AK11" s="503"/>
      <c r="AL11" s="504"/>
      <c r="AM11" s="671">
        <f>IF(ISNUMBER(Datos!R11),Datos!R11," - ")</f>
        <v>917</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81</v>
      </c>
      <c r="BD11" s="619">
        <f>IF(ISNUMBER(Datos!N11),Datos!N11," - ")</f>
        <v>247</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0.5731310942578548</v>
      </c>
      <c r="BH11" s="669">
        <f>IF(ISNUMBER(((IF(J_V="SI",Datos!L11/Datos!K11,(Datos!L11+Datos!AB11)/(Datos!K11+Datos!AA11)))*11)/factor_trimestre),((IF(J_V="SI",Datos!L11/Datos!K11,(Datos!L11+Datos!AB11)/(Datos!K11+Datos!AA11)))*11)/factor_trimestre," - ")</f>
        <v>11.421550094517958</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-2.02991452991453E-2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8</v>
      </c>
      <c r="F13" s="1044">
        <f t="shared" si="0"/>
        <v>134</v>
      </c>
      <c r="G13" s="1044">
        <f t="shared" si="0"/>
        <v>134</v>
      </c>
      <c r="H13" s="1045">
        <f t="shared" si="0"/>
        <v>0</v>
      </c>
      <c r="I13" s="1044">
        <f t="shared" si="0"/>
        <v>0</v>
      </c>
      <c r="J13" s="1013">
        <f t="shared" si="0"/>
        <v>0</v>
      </c>
      <c r="K13" s="1013">
        <f t="shared" si="0"/>
        <v>0</v>
      </c>
      <c r="L13" s="1045">
        <f t="shared" si="0"/>
        <v>0</v>
      </c>
      <c r="M13" s="1045">
        <f t="shared" si="0"/>
        <v>0</v>
      </c>
      <c r="N13" s="1045">
        <f t="shared" si="0"/>
        <v>293</v>
      </c>
      <c r="O13" s="1046">
        <f t="shared" si="0"/>
        <v>0</v>
      </c>
      <c r="P13" s="1046">
        <f t="shared" si="0"/>
        <v>0</v>
      </c>
      <c r="Q13" s="1045">
        <f t="shared" si="0"/>
        <v>529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80</v>
      </c>
      <c r="AC13" s="1045">
        <f t="shared" si="1"/>
        <v>356</v>
      </c>
      <c r="AD13" s="1045">
        <f t="shared" si="1"/>
        <v>0</v>
      </c>
      <c r="AE13" s="1045">
        <f t="shared" si="1"/>
        <v>0</v>
      </c>
      <c r="AF13" s="1045">
        <f t="shared" si="1"/>
        <v>125</v>
      </c>
      <c r="AG13" s="1045">
        <f t="shared" si="1"/>
        <v>0</v>
      </c>
      <c r="AH13" s="1045">
        <f t="shared" si="1"/>
        <v>615</v>
      </c>
      <c r="AI13" s="1045">
        <f t="shared" si="1"/>
        <v>0</v>
      </c>
      <c r="AJ13" s="1045">
        <f t="shared" si="1"/>
        <v>0</v>
      </c>
      <c r="AK13" s="1045">
        <f t="shared" si="1"/>
        <v>0</v>
      </c>
      <c r="AL13" s="1045">
        <f t="shared" si="1"/>
        <v>0</v>
      </c>
      <c r="AM13" s="1045">
        <f t="shared" si="1"/>
        <v>14015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419</v>
      </c>
      <c r="BD13" s="1045">
        <f t="shared" si="1"/>
        <v>670</v>
      </c>
      <c r="BE13" s="1045">
        <f t="shared" si="1"/>
        <v>0</v>
      </c>
      <c r="BF13" s="1045">
        <f t="shared" si="1"/>
        <v>0</v>
      </c>
      <c r="BG13" s="1045">
        <f>IF(ISNUMBER(Datos!K13/Datos!J13),Datos!K13/Datos!J13," - ")</f>
        <v>0.56687697160883277</v>
      </c>
      <c r="BH13" s="1049">
        <f>IF(ISNUMBER(((Datos!L13/Datos!K13)*11)/factor_trimestre),((Datos!L13/Datos!K13)*11)/factor_trimestre," - ")</f>
        <v>21.163606010016697</v>
      </c>
      <c r="BI13" s="1045">
        <f>IF(ISNUMBER('Resol  Asuntos'!D13/NºAsuntos!G13),'Resol  Asuntos'!D13/NºAsuntos!G13," - ")</f>
        <v>0.20630231413096997</v>
      </c>
      <c r="BJ13" s="1045" t="str">
        <f>IF(ISNUMBER(Datos!CI13/Datos!CJ13),Datos!CI13/Datos!CJ13," - ")</f>
        <v xml:space="preserve"> - </v>
      </c>
      <c r="BK13" s="1045">
        <f>SUBTOTAL(9,BK8:BK12)</f>
        <v>0</v>
      </c>
      <c r="BL13" s="1045">
        <f>IF(ISNUMBER((I13-AB13+L13)/(F13)),(I13-AB13+L13)/(F13)," - ")</f>
        <v>-0.59701492537313428</v>
      </c>
      <c r="BM13" s="1050">
        <f>SUBTOTAL(9,BM9:BM12)</f>
        <v>-6.1493991450241717E-2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5</v>
      </c>
      <c r="B15" s="646" t="s">
        <v>400</v>
      </c>
      <c r="C15" s="656" t="str">
        <f>Datos!A15</f>
        <v xml:space="preserve">Jdos. Instrucción                               </v>
      </c>
      <c r="D15" s="657"/>
      <c r="E15" s="1330">
        <f>IF(ISNUMBER(Datos!AQ15),Datos!AQ15," - ")</f>
        <v>5</v>
      </c>
      <c r="F15" s="647">
        <f>IF(ISNUMBER(AF15+AB15-Datos!J15-L15),AF15+AB15-Datos!J15-L15," - ")</f>
        <v>3205</v>
      </c>
      <c r="G15" s="650">
        <f>IF(ISNUMBER(IF(D_I="SI",Datos!I15,Datos!I15+Datos!AC15)),IF(D_I="SI",Datos!I15,Datos!I15+Datos!AC15)," - ")</f>
        <v>3198</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44</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1891</v>
      </c>
      <c r="AC15" s="230">
        <f>IF(ISNUMBER(Datos!Q15),Datos!Q15," - ")</f>
        <v>84</v>
      </c>
      <c r="AD15" s="343"/>
      <c r="AE15" s="515"/>
      <c r="AF15" s="648">
        <f>IF(ISNUMBER(IF(D_I="SI",Datos!L15,Datos!L15+Datos!AF15)),IF(D_I="SI",Datos!L15,Datos!L15+Datos!AF15)," - ")</f>
        <v>4037</v>
      </c>
      <c r="AG15" s="343"/>
      <c r="AH15" s="343"/>
      <c r="AI15" s="343"/>
      <c r="AJ15" s="503"/>
      <c r="AK15" s="343"/>
      <c r="AL15" s="499"/>
      <c r="AM15" s="344">
        <f>IF(ISNUMBER(Datos!R15),Datos!R15," - ")</f>
        <v>541</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314</v>
      </c>
      <c r="BD15" s="233">
        <f>IF(ISNUMBER(Datos!N15),Datos!N15," - ")</f>
        <v>1013</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0.69445464561145798</v>
      </c>
      <c r="BH15" s="669">
        <f>IF(ISNUMBER(((IF(D_I="SI",Datos!L15/Datos!K15,(Datos!L15+Datos!AF15)/(Datos!K15+Datos!AE15)))*11)/factor_trimestre),((IF(D_I="SI",Datos!L15/Datos!K15,(Datos!L15+Datos!AF15)/(Datos!K15+Datos!AE15)))*11)/factor_trimestre," - ")</f>
        <v>6.4045478582760458</v>
      </c>
      <c r="BI15" s="247">
        <f>IF(ISNUMBER('Resol  Asuntos'!D15/NºAsuntos!G15),'Resol  Asuntos'!D15/NºAsuntos!G15," - ")</f>
        <v>0.16604970914859862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110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16</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455</v>
      </c>
      <c r="AC17" s="501">
        <f>IF(ISNUMBER(Datos!Q17),Datos!Q17," - ")</f>
        <v>16</v>
      </c>
      <c r="AD17" s="503"/>
      <c r="AE17" s="515"/>
      <c r="AF17" s="505">
        <f>IF(ISNUMBER(Datos!L17),Datos!L17,"-")</f>
        <v>103</v>
      </c>
      <c r="AG17" s="503"/>
      <c r="AH17" s="503"/>
      <c r="AI17" s="503"/>
      <c r="AJ17" s="503"/>
      <c r="AK17" s="503"/>
      <c r="AL17" s="504"/>
      <c r="AM17" s="671">
        <f>IF(ISNUMBER(Datos!R17),Datos!R17," - ")</f>
        <v>32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111</v>
      </c>
      <c r="BD17" s="619">
        <f>IF(ISNUMBER(Datos!N17),Datos!N17," - ")</f>
        <v>254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1.0201793721973094</v>
      </c>
      <c r="BH17" s="669">
        <f>IF(ISNUMBER(((IF(D_I="SI",Datos!L17/Datos!K17,(Datos!L17+Datos!AF17)/(Datos!K17+Datos!AE17)))*11)/factor_trimestre),((IF(D_I="SI",Datos!L17/Datos!K17,(Datos!L17+Datos!AF17)/(Datos!K17+Datos!AE17)))*11)/factor_trimestre," - ")</f>
        <v>0.67912087912087915</v>
      </c>
      <c r="BI17" s="668">
        <f>IF(ISNUMBER('Resol  Asuntos'!D17/NºAsuntos!G17),'Resol  Asuntos'!D17/NºAsuntos!G17," - ")</f>
        <v>0.24395604395604395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6</v>
      </c>
      <c r="F18" s="1044">
        <f>SUBTOTAL(9,F15:F17)</f>
        <v>3205</v>
      </c>
      <c r="G18" s="1044">
        <f>SUBTOTAL(9,G15:G17)</f>
        <v>3308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2346</v>
      </c>
      <c r="AC18" s="1045">
        <f t="shared" si="4"/>
        <v>100</v>
      </c>
      <c r="AD18" s="1045">
        <f t="shared" si="4"/>
        <v>0</v>
      </c>
      <c r="AE18" s="1045">
        <f t="shared" si="4"/>
        <v>0</v>
      </c>
      <c r="AF18" s="1045">
        <f t="shared" si="4"/>
        <v>4140</v>
      </c>
      <c r="AG18" s="1045">
        <f t="shared" si="4"/>
        <v>0</v>
      </c>
      <c r="AH18" s="1045">
        <f t="shared" si="4"/>
        <v>0</v>
      </c>
      <c r="AI18" s="1045">
        <f t="shared" si="4"/>
        <v>0</v>
      </c>
      <c r="AJ18" s="1045">
        <f t="shared" si="4"/>
        <v>0</v>
      </c>
      <c r="AK18" s="1045">
        <f t="shared" si="4"/>
        <v>0</v>
      </c>
      <c r="AL18" s="1045">
        <f t="shared" si="4"/>
        <v>0</v>
      </c>
      <c r="AM18" s="1045">
        <f t="shared" si="4"/>
        <v>573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425</v>
      </c>
      <c r="BD18" s="1045">
        <f t="shared" si="4"/>
        <v>1267</v>
      </c>
      <c r="BE18" s="1045">
        <f t="shared" si="4"/>
        <v>0</v>
      </c>
      <c r="BF18" s="1045">
        <f t="shared" si="4"/>
        <v>0</v>
      </c>
      <c r="BG18" s="1045">
        <f>IF(ISNUMBER(Datos!K18/Datos!J18),Datos!K18/Datos!J18," - ")</f>
        <v>0.74029662354054904</v>
      </c>
      <c r="BH18" s="1049">
        <f>IF(ISNUMBER(((Datos!L18/Datos!K18)*11)/factor_trimestre),((Datos!L18/Datos!K18)*11)/factor_trimestre," - ")</f>
        <v>5.2941176470588234</v>
      </c>
      <c r="BI18" s="1045">
        <f>SUBTOTAL(9,BI15:BI17)</f>
        <v>0.4100057531046426</v>
      </c>
      <c r="BJ18" s="1045">
        <f>SUBTOTAL(9,BJ15:BJ17)</f>
        <v>0</v>
      </c>
      <c r="BK18" s="1045">
        <f>SUBTOTAL(9,BK15:BK17)</f>
        <v>0</v>
      </c>
      <c r="BL18" s="1045">
        <f>IF(ISNUMBER((I18-AB18+L18)/(F18)),(I18-AB18+L18)/(F18)," - ")</f>
        <v>-0.73198127925117007</v>
      </c>
      <c r="BM18" s="1051">
        <f>IF(ISNUMBER((Datos!P18-Datos!Q18)/(Datos!R18-Datos!P18+Datos!Q18)),(Datos!P18-Datos!Q18)/(Datos!R18-Datos!P18+Datos!Q18)," - ")</f>
        <v>-6.5252854812398037E-2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14</v>
      </c>
      <c r="F19" s="966">
        <f t="shared" si="6"/>
        <v>3339</v>
      </c>
      <c r="G19" s="966">
        <f t="shared" si="6"/>
        <v>3442</v>
      </c>
      <c r="H19" s="968">
        <f t="shared" si="6"/>
        <v>0</v>
      </c>
      <c r="I19" s="966">
        <f t="shared" si="6"/>
        <v>0</v>
      </c>
      <c r="J19" s="968">
        <f t="shared" si="6"/>
        <v>0</v>
      </c>
      <c r="K19" s="968">
        <f t="shared" si="6"/>
        <v>0</v>
      </c>
      <c r="L19" s="1027">
        <f t="shared" si="6"/>
        <v>0</v>
      </c>
      <c r="M19" s="1027">
        <f t="shared" si="6"/>
        <v>0</v>
      </c>
      <c r="N19" s="1027">
        <f t="shared" si="6"/>
        <v>293</v>
      </c>
      <c r="O19" s="1027">
        <f t="shared" si="6"/>
        <v>0</v>
      </c>
      <c r="P19" s="1027">
        <f t="shared" si="6"/>
        <v>0</v>
      </c>
      <c r="Q19" s="968">
        <f t="shared" si="6"/>
        <v>589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2426</v>
      </c>
      <c r="AC19" s="967">
        <f t="shared" si="7"/>
        <v>456</v>
      </c>
      <c r="AD19" s="967">
        <f t="shared" si="7"/>
        <v>0</v>
      </c>
      <c r="AE19" s="967">
        <f t="shared" si="7"/>
        <v>0</v>
      </c>
      <c r="AF19" s="974">
        <f t="shared" si="7"/>
        <v>4265</v>
      </c>
      <c r="AG19" s="974">
        <f t="shared" si="7"/>
        <v>0</v>
      </c>
      <c r="AH19" s="974">
        <f t="shared" si="7"/>
        <v>615</v>
      </c>
      <c r="AI19" s="974">
        <f t="shared" si="7"/>
        <v>0</v>
      </c>
      <c r="AJ19" s="967">
        <f t="shared" si="7"/>
        <v>0</v>
      </c>
      <c r="AK19" s="974">
        <f t="shared" si="7"/>
        <v>0</v>
      </c>
      <c r="AL19" s="974">
        <f t="shared" si="7"/>
        <v>0</v>
      </c>
      <c r="AM19" s="974">
        <f t="shared" si="7"/>
        <v>14588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844</v>
      </c>
      <c r="BD19" s="966">
        <f t="shared" si="7"/>
        <v>1937</v>
      </c>
      <c r="BE19" s="966">
        <f t="shared" si="7"/>
        <v>0</v>
      </c>
      <c r="BF19" s="976">
        <f t="shared" si="7"/>
        <v>0</v>
      </c>
      <c r="BG19" s="1061">
        <f>IF(ISNUMBER(Datos!K19/Datos!J19),Datos!K19/Datos!J19," - ")</f>
        <v>0.65357311878845248</v>
      </c>
      <c r="BH19" s="1061">
        <f>IF(ISNUMBER(((Datos!L19/Datos!K19)*11)/factor_trimestre),((Datos!L19/Datos!K19)*11)/factor_trimestre," - ")</f>
        <v>12.177407675597394</v>
      </c>
      <c r="BI19" s="959">
        <f>IF(ISNUMBER(Datos!J19/Datos!I19),Datos!J19/Datos!I19," - ")</f>
        <v>0.433258150502358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-0.72656483977238695</v>
      </c>
      <c r="BM19" s="1035">
        <f>IF(ISNUMBER((Datos!P19-Datos!Q19+R19)/(Datos!R19-Datos!P19+Datos!Q19-R19)),(Datos!P19-Datos!Q19+R19)/(Datos!R19-Datos!P19+Datos!Q19-R19)," - ")</f>
        <v>9.2009685230024212E-3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1376.8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2.9344694769431681</v>
      </c>
      <c r="F21" s="599">
        <f>IF(ISNUMBER(STDEV(F8:F18)),STDEV(F8:F18),"-")</f>
        <v>1773.0426766813407</v>
      </c>
      <c r="G21" s="600">
        <f>IF(ISNUMBER(STDEV(G8:G18)),STDEV(G8:G18),"-")</f>
        <v>1713.1979453641661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1071.3357550273397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161.77085498880669</v>
      </c>
      <c r="BD21" s="599"/>
      <c r="BE21" s="599">
        <f>IF(ISNUMBER(STDEV(BE8:BE18)),STDEV(BE8:BE18),"-")</f>
        <v>0</v>
      </c>
      <c r="BF21" s="604">
        <f>IF(ISNUMBER(STDEV(BF8:BF18)),STDEV(BF8:BF18),"-")</f>
        <v>0</v>
      </c>
      <c r="BG21" s="914">
        <f>IF(ISNUMBER(STDEV(BG8:BG18)),STDEV(BG8:BG18),"-")</f>
        <v>0.22836869797467502</v>
      </c>
      <c r="BH21" s="918">
        <f>IF(ISNUMBER(STDEV(BH8:BH18)),STDEV(BH8:BH18),"-")</f>
        <v>8.7409446885955013</v>
      </c>
      <c r="BI21" s="253">
        <f>IF(ISNUMBER(STDEV(BI8:BI18)),STDEV(BI8:BI18),"-")</f>
        <v>0.10711738923623854</v>
      </c>
      <c r="BJ21" s="234" t="str">
        <f>IF(ISNUMBER(BL21/BM21),BL21/BM21," - ")</f>
        <v xml:space="preserve"> - </v>
      </c>
      <c r="BK21" s="626"/>
      <c r="BL21" s="607">
        <f>IF(ISNUMBER(STDEV(BL8:BL18)),STDEV(BL8:BL18),"-")</f>
        <v>9.5435624059183433E-2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rZQbeO/IBKJc3fy9EGsMp1lL6QhJLDYriMcjbcVu7sE3LvXhA3/r5NGKb0B3o8TcgNS7I/+SdQ6yQZ7sNGSn6Q==" saltValue="0Lwn7B9XwIut+10O0Uju+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REGION DE MURCIA</v>
      </c>
    </row>
    <row r="2" spans="1:73" ht="16.5" customHeight="1">
      <c r="C2" s="574" t="str">
        <f>Criterios!A10 &amp;"  "&amp;Criterios!B10 &amp; "  " &amp; IF(NOT(ISBLANK(Criterios!A11)),Criterios!A11 &amp;"  "&amp;Criterios!B11,"")</f>
        <v>Provincias  MURCIA  Resumenes por Partidos Judiciales  CARTAGENA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5</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408</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207</v>
      </c>
      <c r="AA9" s="505" t="str">
        <f>IF(ISNUMBER(IF(J_V="SI",Datos!L9,Datos!L9+Datos!AB9)-IF(Monitorios="SI",Datos!CD9,0)),
                          IF(J_V="SI",Datos!L9,Datos!L9+Datos!AB9)-IF(Monitorios="SI",Datos!CD9,0),
                          " - ")</f>
        <v xml:space="preserve"> - </v>
      </c>
      <c r="AB9" s="503"/>
      <c r="AC9" s="503"/>
      <c r="AD9" s="516"/>
      <c r="AE9" s="516">
        <f>IF(ISNUMBER(Datos!R9),Datos!R9," - ")</f>
        <v>12949</v>
      </c>
      <c r="AF9" s="619" t="str">
        <f>IF(ISNUMBER(Datos!BV9),Datos!BV9," - ")</f>
        <v xml:space="preserve"> - </v>
      </c>
      <c r="AG9" s="506" t="str">
        <f>IF(ISNUMBER(Datos!DV9),Datos!DV9," - ")</f>
        <v xml:space="preserve"> - </v>
      </c>
      <c r="AH9" s="507"/>
      <c r="AI9" s="508"/>
      <c r="AJ9" s="506">
        <f>IF(ISNUMBER(Datos!M9),Datos!M9," - ")</f>
        <v>298</v>
      </c>
      <c r="AK9" s="619">
        <f>IF(ISNUMBER(Datos!N9),Datos!N9," - ")</f>
        <v>390</v>
      </c>
      <c r="AL9" s="619" t="str">
        <f>IF(ISNUMBER(Datos!BW9),Datos!BW9," - ")</f>
        <v xml:space="preserve"> - </v>
      </c>
      <c r="AM9" s="667" t="str">
        <f>IF(ISNUMBER(Datos!BX9),Datos!BX9," - ")</f>
        <v xml:space="preserve"> - </v>
      </c>
      <c r="AN9" s="668"/>
      <c r="AO9" s="669">
        <f>IF(ISNUMBER(((NºAsuntos!I9/NºAsuntos!G9)*11)/factor_trimestre),((NºAsuntos!I9/NºAsuntos!G9)*11)/factor_trimestre," - ")</f>
        <v>23.5295358649789</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1.5767179165359271E-2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134</v>
      </c>
      <c r="G10" s="506">
        <f>IF(ISNUMBER(Datos!I10),Datos!I10," - ")</f>
        <v>134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80</v>
      </c>
      <c r="Z10" s="703">
        <f>IF(ISNUMBER(Datos!Q10),Datos!Q10," - ")</f>
        <v>21</v>
      </c>
      <c r="AA10" s="505">
        <f>IF(ISNUMBER(Datos!L10),Datos!L10,"-")</f>
        <v>125</v>
      </c>
      <c r="AB10" s="503"/>
      <c r="AC10" s="503"/>
      <c r="AD10" s="516"/>
      <c r="AE10" s="516">
        <f>IF(ISNUMBER(Datos!R10),Datos!R10," - ")</f>
        <v>149</v>
      </c>
      <c r="AF10" s="619" t="str">
        <f>IF(ISNUMBER(Datos!BV10),Datos!BV10," - ")</f>
        <v xml:space="preserve"> - </v>
      </c>
      <c r="AG10" s="506" t="str">
        <f>IF(ISNUMBER(Datos!DV10),Datos!DV10," - ")</f>
        <v xml:space="preserve"> - </v>
      </c>
      <c r="AH10" s="507"/>
      <c r="AI10" s="508"/>
      <c r="AJ10" s="506">
        <f>IF(ISNUMBER(Datos!M10),Datos!M10," - ")</f>
        <v>40</v>
      </c>
      <c r="AK10" s="619">
        <f>IF(ISNUMBER(Datos!N10),Datos!N10," - ")</f>
        <v>33</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4.6875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-5.6962025316455694E-2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2</v>
      </c>
      <c r="B11" s="653" t="s">
        <v>249</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109</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128</v>
      </c>
      <c r="AA11" s="505" t="str">
        <f>IF(ISNUMBER(IF(J_V="SI",Datos!L11,Datos!L11+Datos!AB11)-IF(Monitorios="SI",Datos!CD11,0)),
                          IF(J_V="SI",Datos!L11,Datos!L11+Datos!AB11)-IF(Monitorios="SI",Datos!CD11,0),
                          " - ")</f>
        <v xml:space="preserve"> - </v>
      </c>
      <c r="AB11" s="503"/>
      <c r="AC11" s="503"/>
      <c r="AD11" s="516"/>
      <c r="AE11" s="516">
        <f>IF(ISNUMBER(Datos!R11),Datos!R11," - ")</f>
        <v>917</v>
      </c>
      <c r="AF11" s="619" t="str">
        <f>IF(ISNUMBER(Datos!BV11),Datos!BV11," - ")</f>
        <v xml:space="preserve"> - </v>
      </c>
      <c r="AG11" s="506" t="str">
        <f>IF(ISNUMBER(Datos!DV11),Datos!DV11," - ")</f>
        <v xml:space="preserve"> - </v>
      </c>
      <c r="AH11" s="507"/>
      <c r="AI11" s="508"/>
      <c r="AJ11" s="506">
        <f>IF(ISNUMBER(Datos!M11),Datos!M11," - ")</f>
        <v>81</v>
      </c>
      <c r="AK11" s="619">
        <f>IF(ISNUMBER(Datos!N11),Datos!N11," - ")</f>
        <v>247</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11.421550094517958</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-2.02991452991453E-2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8</v>
      </c>
      <c r="F13" s="1044">
        <f>SUBTOTAL(9,F8:F12)</f>
        <v>134</v>
      </c>
      <c r="G13" s="1044">
        <f>SUBTOTAL(9,G8:G12)</f>
        <v>134</v>
      </c>
      <c r="H13" s="1054"/>
      <c r="I13" s="1044">
        <f t="shared" ref="I13:N13" si="0">SUBTOTAL(9,I8:I12)</f>
        <v>0</v>
      </c>
      <c r="J13" s="1013">
        <f t="shared" si="0"/>
        <v>0</v>
      </c>
      <c r="K13" s="1054">
        <f t="shared" si="0"/>
        <v>0</v>
      </c>
      <c r="L13" s="1054">
        <f t="shared" si="0"/>
        <v>0</v>
      </c>
      <c r="M13" s="1054">
        <f t="shared" si="0"/>
        <v>0</v>
      </c>
      <c r="N13" s="1054">
        <f t="shared" si="0"/>
        <v>529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80</v>
      </c>
      <c r="Z13" s="1053">
        <f t="shared" si="2"/>
        <v>356</v>
      </c>
      <c r="AA13" s="1046">
        <f t="shared" si="2"/>
        <v>125</v>
      </c>
      <c r="AB13" s="1046">
        <f t="shared" si="2"/>
        <v>0</v>
      </c>
      <c r="AC13" s="1046">
        <f t="shared" si="2"/>
        <v>0</v>
      </c>
      <c r="AD13" s="1046">
        <f t="shared" si="2"/>
        <v>0</v>
      </c>
      <c r="AE13" s="1046">
        <f t="shared" si="2"/>
        <v>14015</v>
      </c>
      <c r="AF13" s="1054">
        <f t="shared" si="2"/>
        <v>0</v>
      </c>
      <c r="AG13" s="1054">
        <f t="shared" si="2"/>
        <v>0</v>
      </c>
      <c r="AH13" s="1054">
        <f t="shared" si="2"/>
        <v>0</v>
      </c>
      <c r="AI13" s="1054">
        <f t="shared" si="2"/>
        <v>0</v>
      </c>
      <c r="AJ13" s="1054">
        <f t="shared" si="2"/>
        <v>419</v>
      </c>
      <c r="AK13" s="1054">
        <f t="shared" si="2"/>
        <v>670</v>
      </c>
      <c r="AL13" s="1054">
        <f t="shared" si="2"/>
        <v>0</v>
      </c>
      <c r="AM13" s="1054">
        <f t="shared" si="2"/>
        <v>0</v>
      </c>
      <c r="AN13" s="1054">
        <f t="shared" si="2"/>
        <v>0</v>
      </c>
      <c r="AO13" s="1050">
        <f>IF(ISNUMBER(((NºAsuntos!I13/NºAsuntos!G13)*11)/factor_trimestre),((NºAsuntos!I13/NºAsuntos!G13)*11)/factor_trimestre," - ")</f>
        <v>19.633677991137372</v>
      </c>
      <c r="AP13" s="1056" t="str">
        <f>IF(ISNUMBER(Datos!CI13/Datos!CJ13),Datos!CI13/Datos!CJ13," - ")</f>
        <v xml:space="preserve"> - </v>
      </c>
      <c r="AQ13" s="1074">
        <f t="shared" ref="AQ13:AV13" si="3">SUBTOTAL(9,AQ9:AQ12)</f>
        <v>0</v>
      </c>
      <c r="AR13" s="1074">
        <f t="shared" si="3"/>
        <v>-6.1493991450241717E-2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5</v>
      </c>
      <c r="B15" s="653" t="s">
        <v>400</v>
      </c>
      <c r="C15" s="670" t="str">
        <f>Datos!A15</f>
        <v xml:space="preserve">Jdos. Instrucción                               </v>
      </c>
      <c r="D15" s="543"/>
      <c r="E15" s="1333">
        <f>IF(ISNUMBER(Datos!AQ15),Datos!AQ15," - ")</f>
        <v>5</v>
      </c>
      <c r="F15" s="497">
        <f>IF(ISNUMBER(AA15+Y15-Datos!J15-K15),AA15+Y15-Datos!J15-K15," - ")</f>
        <v>3205</v>
      </c>
      <c r="G15" s="506">
        <f>IF(ISNUMBER(IF(D_I="SI",Datos!I15,Datos!I15+Datos!AC15)),IF(D_I="SI",Datos!I15,Datos!I15+Datos!AC15)," - ")</f>
        <v>3198</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44</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1891</v>
      </c>
      <c r="Z15" s="703">
        <f>IF(ISNUMBER(Datos!Q15),Datos!Q15," - ")</f>
        <v>84</v>
      </c>
      <c r="AA15" s="505">
        <f>IF(ISNUMBER(IF(D_I="SI",Datos!L15,Datos!L15+Datos!AF15)),IF(D_I="SI",Datos!L15,Datos!L15+Datos!AF15)," - ")</f>
        <v>4037</v>
      </c>
      <c r="AB15" s="503"/>
      <c r="AC15" s="503"/>
      <c r="AD15" s="516"/>
      <c r="AE15" s="516">
        <f>IF(ISNUMBER(Datos!R15),Datos!R15," - ")</f>
        <v>541</v>
      </c>
      <c r="AF15" s="619" t="str">
        <f>IF(ISNUMBER(Datos!BV15),Datos!BV15," - ")</f>
        <v xml:space="preserve"> - </v>
      </c>
      <c r="AG15" s="506"/>
      <c r="AH15" s="507"/>
      <c r="AI15" s="508"/>
      <c r="AJ15" s="506">
        <f>IF(ISNUMBER(Datos!M15),Datos!M15," - ")</f>
        <v>314</v>
      </c>
      <c r="AK15" s="619">
        <f>IF(ISNUMBER(Datos!N15),Datos!N15," - ")</f>
        <v>1013</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6.4045478582760458</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110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16</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455</v>
      </c>
      <c r="Z17" s="703">
        <f>IF(ISNUMBER(Datos!Q17),Datos!Q17," - ")</f>
        <v>16</v>
      </c>
      <c r="AA17" s="505">
        <f>IF(ISNUMBER(Datos!L17),Datos!L17,"-")</f>
        <v>103</v>
      </c>
      <c r="AB17" s="503"/>
      <c r="AC17" s="503"/>
      <c r="AD17" s="516"/>
      <c r="AE17" s="516">
        <f>IF(ISNUMBER(Datos!R17),Datos!R17," - ")</f>
        <v>32</v>
      </c>
      <c r="AF17" s="619" t="str">
        <f>IF(ISNUMBER(Datos!BV17),Datos!BV17," - ")</f>
        <v xml:space="preserve"> - </v>
      </c>
      <c r="AG17" s="506" t="str">
        <f>IF(ISNUMBER(Datos!DV17),Datos!DV17," - ")</f>
        <v xml:space="preserve"> - </v>
      </c>
      <c r="AH17" s="507"/>
      <c r="AI17" s="508"/>
      <c r="AJ17" s="506">
        <f>IF(ISNUMBER(Datos!M17),Datos!M17," - ")</f>
        <v>111</v>
      </c>
      <c r="AK17" s="619">
        <f>IF(ISNUMBER(Datos!N17),Datos!N17," - ")</f>
        <v>254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0.67912087912087915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6</v>
      </c>
      <c r="F18" s="1044">
        <f>SUBTOTAL(9,F15:F17)</f>
        <v>3205</v>
      </c>
      <c r="G18" s="1044">
        <f>SUBTOTAL(9,G15:G17)</f>
        <v>3308</v>
      </c>
      <c r="H18" s="1078">
        <f>SUBTOTAL(9,H15:H17)</f>
        <v>0</v>
      </c>
      <c r="I18" s="1057">
        <f>SUBTOTAL(9,I15:I17)</f>
        <v>0</v>
      </c>
      <c r="J18" s="1013">
        <f>SUBTOTAL(9,J14:J17)</f>
        <v>0</v>
      </c>
      <c r="K18" s="1078">
        <f t="shared" ref="K18:S18" si="4">SUBTOTAL(9,K15:K17)</f>
        <v>0</v>
      </c>
      <c r="L18" s="1078">
        <f t="shared" si="4"/>
        <v>0</v>
      </c>
      <c r="M18" s="1078">
        <f t="shared" si="4"/>
        <v>0</v>
      </c>
      <c r="N18" s="1078">
        <f t="shared" si="4"/>
        <v>60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2346</v>
      </c>
      <c r="Z18" s="1078">
        <f t="shared" si="5"/>
        <v>100</v>
      </c>
      <c r="AA18" s="1078">
        <f t="shared" si="5"/>
        <v>4140</v>
      </c>
      <c r="AB18" s="1078">
        <f t="shared" si="5"/>
        <v>0</v>
      </c>
      <c r="AC18" s="1078">
        <f t="shared" si="5"/>
        <v>0</v>
      </c>
      <c r="AD18" s="1078">
        <f t="shared" si="5"/>
        <v>0</v>
      </c>
      <c r="AE18" s="1078">
        <f t="shared" si="5"/>
        <v>573</v>
      </c>
      <c r="AF18" s="1078">
        <f t="shared" si="5"/>
        <v>0</v>
      </c>
      <c r="AG18" s="1078">
        <f t="shared" si="5"/>
        <v>0</v>
      </c>
      <c r="AH18" s="1078">
        <f t="shared" si="5"/>
        <v>0</v>
      </c>
      <c r="AI18" s="1078">
        <f t="shared" si="5"/>
        <v>0</v>
      </c>
      <c r="AJ18" s="1078">
        <f t="shared" si="5"/>
        <v>425</v>
      </c>
      <c r="AK18" s="1078">
        <f t="shared" si="5"/>
        <v>1267</v>
      </c>
      <c r="AL18" s="1078">
        <f t="shared" si="5"/>
        <v>0</v>
      </c>
      <c r="AM18" s="1078">
        <f t="shared" si="5"/>
        <v>0</v>
      </c>
      <c r="AN18" s="1078">
        <f t="shared" si="5"/>
        <v>0</v>
      </c>
      <c r="AO18" s="1080">
        <f>IF(ISNUMBER(((NºAsuntos!I18/NºAsuntos!G18)*11)/factor_trimestre),((NºAsuntos!I18/NºAsuntos!G18)*11)/factor_trimestre," - ")</f>
        <v>5.2941176470588234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14</v>
      </c>
      <c r="F19" s="966">
        <f t="shared" si="7"/>
        <v>3339</v>
      </c>
      <c r="G19" s="966">
        <f t="shared" si="7"/>
        <v>3442</v>
      </c>
      <c r="H19" s="967">
        <f t="shared" si="7"/>
        <v>0</v>
      </c>
      <c r="I19" s="966">
        <f t="shared" si="7"/>
        <v>0</v>
      </c>
      <c r="J19" s="968">
        <f t="shared" si="7"/>
        <v>0</v>
      </c>
      <c r="K19" s="966">
        <f t="shared" si="7"/>
        <v>0</v>
      </c>
      <c r="L19" s="969">
        <f t="shared" si="7"/>
        <v>0</v>
      </c>
      <c r="M19" s="966">
        <f t="shared" si="7"/>
        <v>0</v>
      </c>
      <c r="N19" s="967">
        <f t="shared" si="7"/>
        <v>589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2426</v>
      </c>
      <c r="Z19" s="973">
        <f t="shared" si="8"/>
        <v>456</v>
      </c>
      <c r="AA19" s="974">
        <f t="shared" si="8"/>
        <v>4265</v>
      </c>
      <c r="AB19" s="974">
        <f t="shared" si="8"/>
        <v>0</v>
      </c>
      <c r="AC19" s="974">
        <f t="shared" si="8"/>
        <v>0</v>
      </c>
      <c r="AD19" s="975">
        <f t="shared" si="8"/>
        <v>0</v>
      </c>
      <c r="AE19" s="975">
        <f t="shared" si="8"/>
        <v>14588</v>
      </c>
      <c r="AF19" s="976">
        <f t="shared" si="8"/>
        <v>0</v>
      </c>
      <c r="AG19" s="977">
        <f t="shared" si="8"/>
        <v>0</v>
      </c>
      <c r="AH19" s="978">
        <f t="shared" si="8"/>
        <v>0</v>
      </c>
      <c r="AI19" s="976">
        <f t="shared" si="8"/>
        <v>0</v>
      </c>
      <c r="AJ19" s="966">
        <f t="shared" si="8"/>
        <v>844</v>
      </c>
      <c r="AK19" s="966">
        <f t="shared" si="8"/>
        <v>1937</v>
      </c>
      <c r="AL19" s="966">
        <f t="shared" si="8"/>
        <v>0</v>
      </c>
      <c r="AM19" s="979">
        <f t="shared" si="8"/>
        <v>0</v>
      </c>
      <c r="AN19" s="969">
        <f>IF(ISNUMBER(Datos!K19/Datos!J19),Datos!K19/Datos!J19," - ")</f>
        <v>0.65357311878845248</v>
      </c>
      <c r="AO19" s="969">
        <f>IF(ISNUMBER(FIND("06",Criterios!A8,1)),(IF(ISNUMBER(((Datos!R19/Datos!Q19)*11)/factor_trimestre),((Datos!R19/Datos!Q19)*11)/factor_trimestre," - ")),(IF(ISNUMBER(((Datos!L19/Datos!K19)*11)/factor_trimestre),((Datos!L19/Datos!K19)*11)/factor_trimestre," - ")))</f>
        <v>12.177407675597394</v>
      </c>
      <c r="AP19" s="980" t="str">
        <f>IF(ISNUMBER(Datos!CI19/Datos!CJ19),Datos!CI19/Datos!CJ19," - ")</f>
        <v xml:space="preserve"> - </v>
      </c>
      <c r="AQ19" s="980">
        <f>IF(OR(ISNUMBER(FIND("01",Criterios!A8,1)),ISNUMBER(FIND("02",Criterios!A8,1)),ISNUMBER(FIND("03",Criterios!A8,1)),ISNUMBER(FIND("04",Criterios!A8,1))),(J19-Y19+K19)/(F19-K19),(I19-Y19+K19)/(F19-K19))</f>
        <v>-0.72656483977238695</v>
      </c>
      <c r="AR19" s="980">
        <f>IF(ISNUMBER((Datos!P19-Datos!Q19+O19)/(Datos!R19-Datos!P19+Datos!Q19-O19)),(Datos!P19-Datos!Q19+O19)/(Datos!R19-Datos!P19+Datos!Q19-O19)," - ")</f>
        <v>9.2009685230024212E-3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1376.8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1773.0426766813407</v>
      </c>
      <c r="G21" s="600">
        <f>IF(ISNUMBER(STDEV(G8:G18)),STDEV(G8:G18),"-")</f>
        <v>1713.1979453641661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161.77085498880669</v>
      </c>
      <c r="AK21" s="256"/>
      <c r="AL21" s="256">
        <f>IF(ISNUMBER(STDEV(AL8:AL18)),STDEV(AL8:AL18),"-")</f>
        <v>0</v>
      </c>
      <c r="AM21" s="258">
        <f>IF(ISNUMBER(STDEV(AM8:AM18)),STDEV(AM8:AM18),"-")</f>
        <v>0</v>
      </c>
      <c r="AN21" s="586">
        <f>IF(ISNUMBER(STDEV(AN8:AN18)),STDEV(AN8:AN18),"-")</f>
        <v>0</v>
      </c>
      <c r="AO21" s="587">
        <f>IF(ISNUMBER(STDEV(AO8:AO18)),STDEV(AO8:AO18),"-")</f>
        <v>8.4425706332836388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btj03IeFrcRwXSZOhE/0jWqMkyxTF5WwNjfdneSbXnBw/w+tPKNh1BI/j5fh8GwRGFrUar204sJQufVWcT/pUg==" saltValue="nuou6V/p9Ickkk3PyPWbx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r3Zqn4krPc5yiI5nNrNJ0ODFKtk1Hzq3kWziSyrg8OCdWt8kFerEuTu+DdJkdiWQo+KlVvnXd7GCsKli5TP/Eg==" saltValue="nrpXhxQp9/+7ihFeyAifX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K1OjTcr51kXAoILxiybYi4tlzyYjTUEdRvcNsvDs9WPMc1SVZtGosLhcPjiaTXxlnB6pXsLUf0WTsGUsxRlXw==" saltValue="7/bA+EXEU2lfBKeCga+5K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REGION DE MURCIA</v>
      </c>
      <c r="F1" s="752"/>
    </row>
    <row r="2" spans="1:75" ht="16.5" customHeight="1">
      <c r="C2" s="520" t="str">
        <f>Criterios!A10 &amp;"  "&amp;Criterios!B10 &amp; "  " &amp; IF(NOT(ISBLANK(Criterios!A11)),Criterios!A11 &amp;"  "&amp;Criterios!B11,"")</f>
        <v>Provincias  MURCIA  Resumenes por Partidos Judiciales  CARTAGENA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0.20630231413096997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0.14587776529648619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PEN9zDy9XcFPs857JCnRfwncTYvggy4jpopzwnC/I0pY53Py519XGLh4WCVGFhIA/vhpm9x0Rv+ZyKHWL3WGSA==" saltValue="EnFmVX1IY39d1GQZXUYHk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nra8ovr46uH/b3a7gsnlhF8gLCOA0nkUrNoVSzZRXlsJrM8ooG0q1FA6G6oBR7sh+gGPeMDYLyRQ8u6LP5KRVA==" saltValue="EOocM5yYm3y27tMqCpAi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REGION DE MURCIA</v>
      </c>
      <c r="C2" s="399"/>
      <c r="D2" s="399"/>
      <c r="E2" s="399"/>
      <c r="F2" s="399"/>
    </row>
    <row r="3" spans="1:14" ht="19.5">
      <c r="A3" s="401" t="s">
        <v>115</v>
      </c>
      <c r="B3" s="402" t="str">
        <f>Criterios!A10 &amp;"  "&amp;Criterios!B10</f>
        <v>Provincias  MURCIA</v>
      </c>
      <c r="D3" s="399"/>
      <c r="E3" s="399"/>
      <c r="F3" s="399"/>
    </row>
    <row r="4" spans="1:14" ht="13.5" thickBot="1">
      <c r="A4" s="399"/>
      <c r="B4" s="402" t="str">
        <f>Criterios!A11 &amp;"  "&amp;Criterios!B11</f>
        <v>Resumenes por Partidos Judiciales  CARTAGENA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5</v>
      </c>
      <c r="C9" s="414">
        <f>IF(ISNUMBER(IF(J_V="SI",Datos!I9,Datos!I9+Datos!Y9)),IF(J_V="SI",Datos!I9,Datos!I9+Datos!Y9)," - ")</f>
        <v>10164</v>
      </c>
      <c r="D9" s="415">
        <f>IF(ISNUMBER(C9/Datos!BH9),C9/Datos!BH9," - ")</f>
        <v>2032.8</v>
      </c>
      <c r="E9" s="414">
        <f>IF(ISNUMBER(IF(J_V="SI",Datos!J9,Datos!J9+Datos!Z9)),IF(J_V="SI",Datos!J9,Datos!J9+Datos!Z9)," - ")</f>
        <v>2469</v>
      </c>
      <c r="F9" s="415">
        <f>IF(ISNUMBER(E9/B9),E9/B9," - ")</f>
        <v>493.8</v>
      </c>
      <c r="G9" s="414">
        <f>IF(ISNUMBER(IF(J_V="SI",Datos!K9,Datos!K9+Datos!AA9)),IF(J_V="SI",Datos!K9,Datos!K9+Datos!AA9)," - ")</f>
        <v>1422</v>
      </c>
      <c r="H9" s="415">
        <f>IF(ISNUMBER(G9/B9),G9/B9," - ")</f>
        <v>284.39999999999998</v>
      </c>
      <c r="I9" s="414">
        <f>IF(ISNUMBER(IF(J_V="SI",Datos!L9,Datos!L9+Datos!AB9)),IF(J_V="SI",Datos!L9,Datos!L9+Datos!AB9)," - ")</f>
        <v>11153</v>
      </c>
      <c r="J9" s="415">
        <f>IF(ISNUMBER(I9/B9),I9/B9," - ")</f>
        <v>2230.6</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134</v>
      </c>
      <c r="D10" s="415">
        <f>IF(ISNUMBER(C10/Datos!BH10),C10/Datos!BH10," - ")</f>
        <v>134</v>
      </c>
      <c r="E10" s="414">
        <f>IF(ISNUMBER(Datos!J10),Datos!J10," - ")</f>
        <v>71</v>
      </c>
      <c r="F10" s="415">
        <f>IF(ISNUMBER(E10/B10),E10/B10," - ")</f>
        <v>71</v>
      </c>
      <c r="G10" s="414">
        <f>IF(ISNUMBER(Datos!K10),Datos!K10," - ")</f>
        <v>80</v>
      </c>
      <c r="H10" s="415">
        <f>IF(ISNUMBER(G10/B10),G10/B10," - ")</f>
        <v>80</v>
      </c>
      <c r="I10" s="414">
        <f>IF(ISNUMBER(Datos!L10),Datos!L10," - ")</f>
        <v>125</v>
      </c>
      <c r="J10" s="415">
        <f>IF(ISNUMBER(I10/B10),I10/B10," - ")</f>
        <v>125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1620</v>
      </c>
      <c r="D11" s="415">
        <f>IF(ISNUMBER(C11/Datos!BH11),C11/Datos!BH11," - ")</f>
        <v>810</v>
      </c>
      <c r="E11" s="414">
        <f>IF(ISNUMBER(IF(J_V="SI",Datos!J11,Datos!J11+Datos!Z11)),IF(J_V="SI",Datos!J11,Datos!J11+Datos!Z11)," - ")</f>
        <v>923</v>
      </c>
      <c r="F11" s="415">
        <f>IF(ISNUMBER(E11/B11),E11/B11," - ")</f>
        <v>461.5</v>
      </c>
      <c r="G11" s="414">
        <f>IF(ISNUMBER(IF(J_V="SI",Datos!K11,Datos!K11+Datos!AA11)),IF(J_V="SI",Datos!K11,Datos!K11+Datos!AA11)," - ")</f>
        <v>529</v>
      </c>
      <c r="H11" s="415">
        <f>IF(ISNUMBER(G11/B11),G11/B11," - ")</f>
        <v>264.5</v>
      </c>
      <c r="I11" s="414">
        <f>IF(ISNUMBER(IF(J_V="SI",Datos!L11,Datos!L11+Datos!AB11)),IF(J_V="SI",Datos!L11,Datos!L11+Datos!AB11)," - ")</f>
        <v>2014</v>
      </c>
      <c r="J11" s="415">
        <f>IF(ISNUMBER(I11/B11),I11/B11," - ")</f>
        <v>1007</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8</v>
      </c>
      <c r="C13" s="995">
        <f>SUBTOTAL(9,C8:C12)</f>
        <v>11918</v>
      </c>
      <c r="D13" s="996" t="str">
        <f>IF(ISNUMBER(C13/Datos!BI13),C13/Datos!BI13," - ")</f>
        <v xml:space="preserve"> - </v>
      </c>
      <c r="E13" s="995">
        <f>SUBTOTAL(9,E8:E12)</f>
        <v>3463</v>
      </c>
      <c r="F13" s="996">
        <f>IF(ISNUMBER(E13/B13),E13/B13," - ")</f>
        <v>432.875</v>
      </c>
      <c r="G13" s="995">
        <f>SUBTOTAL(9,G8:G12)</f>
        <v>2031</v>
      </c>
      <c r="H13" s="996">
        <f>IF(ISNUMBER(G13/B13),G13/B13," - ")</f>
        <v>253.875</v>
      </c>
      <c r="I13" s="995">
        <f>SUBTOTAL(9,I8:I12)</f>
        <v>13292</v>
      </c>
      <c r="J13" s="996">
        <f>IF(ISNUMBER(I13/B13),I13/B13," - ")</f>
        <v>1661.5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5</v>
      </c>
      <c r="C15" s="414">
        <f>IF(ISNUMBER(IF(D_I="SI",Datos!I15,Datos!I15+Datos!AC15)),IF(D_I="SI",Datos!I15,Datos!I15+Datos!AC15)," - ")</f>
        <v>3198</v>
      </c>
      <c r="D15" s="415">
        <f>IF(ISNUMBER(C15/Datos!BH15),C15/Datos!BH15," - ")</f>
        <v>639.6</v>
      </c>
      <c r="E15" s="414">
        <f>IF(ISNUMBER(IF(D_I="SI",Datos!J15,Datos!J15+Datos!AD15)),IF(D_I="SI",Datos!J15,Datos!J15+Datos!AD15)," - ")</f>
        <v>2723</v>
      </c>
      <c r="F15" s="415">
        <f>IF(ISNUMBER(E15/B15),E15/B15," - ")</f>
        <v>544.6</v>
      </c>
      <c r="G15" s="414">
        <f>IF(ISNUMBER(IF(D_I="SI",Datos!K15,Datos!K15+Datos!AE15)),IF(D_I="SI",Datos!K15,Datos!K15+Datos!AE15)," - ")</f>
        <v>1891</v>
      </c>
      <c r="H15" s="415">
        <f>IF(ISNUMBER(G15/B15),G15/B15," - ")</f>
        <v>378.2</v>
      </c>
      <c r="I15" s="414">
        <f>IF(ISNUMBER(IF(D_I="SI",Datos!L15,Datos!L15+Datos!AF15)),IF(D_I="SI",Datos!L15,Datos!L15+Datos!AF15)," - ")</f>
        <v>4037</v>
      </c>
      <c r="J15" s="415">
        <f>IF(ISNUMBER(I15/B15),I15/B15," - ")</f>
        <v>807.4</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110</v>
      </c>
      <c r="D17" s="415">
        <f>IF(ISNUMBER(C17/Datos!BH17),C17/Datos!BH17," - ")</f>
        <v>110</v>
      </c>
      <c r="E17" s="414">
        <f>IF(ISNUMBER(IF(D_I="SI",Datos!J17,Datos!J17+Datos!AD17)),IF(D_I="SI",Datos!J17,Datos!J17+Datos!AD17)," - ")</f>
        <v>446</v>
      </c>
      <c r="F17" s="415">
        <f>IF(ISNUMBER(E17/B17),E17/B17," - ")</f>
        <v>446</v>
      </c>
      <c r="G17" s="414">
        <f>IF(ISNUMBER(IF(D_I="SI",Datos!K17,Datos!K17+Datos!AE17)),IF(D_I="SI",Datos!K17,Datos!K17+Datos!AE17)," - ")</f>
        <v>455</v>
      </c>
      <c r="H17" s="415">
        <f>IF(ISNUMBER(G17/B17),G17/B17," - ")</f>
        <v>455</v>
      </c>
      <c r="I17" s="414">
        <f>IF(ISNUMBER(IF(D_I="SI",Datos!L17,Datos!L17+Datos!AF17)),IF(D_I="SI",Datos!L17,Datos!L17+Datos!AF17)," - ")</f>
        <v>103</v>
      </c>
      <c r="J17" s="415">
        <f>IF(ISNUMBER(I17/B17),I17/B17," - ")</f>
        <v>103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3308</v>
      </c>
      <c r="D18" s="996" t="str">
        <f>IF(ISNUMBER(C18/Datos!BI18),C18/Datos!BI18," - ")</f>
        <v xml:space="preserve"> - </v>
      </c>
      <c r="E18" s="995">
        <f>SUBTOTAL(9,E14:E17)</f>
        <v>3169</v>
      </c>
      <c r="F18" s="996">
        <f>IF(ISNUMBER(E18/B18),E18/B18," - ")</f>
        <v>528.16666666666663</v>
      </c>
      <c r="G18" s="995">
        <f>SUBTOTAL(9,G14:G17)</f>
        <v>2346</v>
      </c>
      <c r="H18" s="996">
        <f>IF(ISNUMBER(G18/B18),G18/B18," - ")</f>
        <v>391</v>
      </c>
      <c r="I18" s="995">
        <f>SUBTOTAL(9,I14:I17)</f>
        <v>4140</v>
      </c>
      <c r="J18" s="996">
        <f>IF(ISNUMBER(I18/B18),I18/B18," - ")</f>
        <v>690</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13</v>
      </c>
      <c r="C19" s="940">
        <f>SUBTOTAL(9,C9:C18)</f>
        <v>15226</v>
      </c>
      <c r="D19" s="941" t="str">
        <f>IF(ISNUMBER(C19/Datos!BI19),C19/Datos!BI19," - ")</f>
        <v xml:space="preserve"> - </v>
      </c>
      <c r="E19" s="940">
        <f>SUBTOTAL(9,E9:E18)</f>
        <v>6632</v>
      </c>
      <c r="F19" s="941">
        <f>IF(ISNUMBER(E19/B19),E19/B19," - ")</f>
        <v>510.15384615384613</v>
      </c>
      <c r="G19" s="940">
        <f>SUBTOTAL(9,G9:G18)</f>
        <v>4377</v>
      </c>
      <c r="H19" s="941">
        <f>IF(ISNUMBER(G19/B19),G19/B19," - ")</f>
        <v>336.69230769230768</v>
      </c>
      <c r="I19" s="940">
        <f>SUBTOTAL(9,I9:I18)</f>
        <v>17432</v>
      </c>
      <c r="J19" s="941">
        <f>IF(ISNUMBER(I19/B19),I19/B19," - ")</f>
        <v>1340.9230769230769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bg0qUAMiSQbc6weyywmTe8vzpj6xz3xtLzjghpNB5Li8Bqj2O0PUBjnErP9UvCYgRt1aOq7h3T0h+G0OdYFbWA==" saltValue="bwjov8PsO2vDqbnGkHo05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REGION DE MURCIA</v>
      </c>
      <c r="F1" s="752"/>
      <c r="W1"/>
      <c r="X1"/>
      <c r="BE1" s="752"/>
    </row>
    <row r="2" spans="1:65" ht="16.5" customHeight="1">
      <c r="C2" s="520" t="str">
        <f>Criterios!A10 &amp;"  "&amp;Criterios!B10 &amp; "  " &amp; IF(NOT(ISBLANK(Criterios!A11)),Criterios!A11 &amp;"  "&amp;Criterios!B11,"")</f>
        <v>Provincias  MURCIA  Resumenes por Partidos Judiciales  CARTAGENA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5</v>
      </c>
      <c r="B9" s="652" t="s">
        <v>249</v>
      </c>
      <c r="C9" s="670" t="str">
        <f>Datos!A9</f>
        <v xml:space="preserve">Jdos. 1ª Instancia   </v>
      </c>
      <c r="D9" s="543"/>
      <c r="E9" s="800">
        <f>IF(ISNUMBER(Datos!AQ9),Datos!AQ9," - ")</f>
        <v>5</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134</v>
      </c>
      <c r="G10" s="802">
        <f>IF(ISNUMBER(Datos!I10),Datos!I10," - ")</f>
        <v>134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80</v>
      </c>
      <c r="AC10" s="801" t="str">
        <f>IF(ISNUMBER(IF(D_I="SI",DatosP!K17,DatosP!K17+DatosP!AE17)),IF(D_I="SI",DatosP!K17,DatosP!K17+DatosP!AE17)," - ")</f>
        <v xml:space="preserve"> - </v>
      </c>
      <c r="AD10" s="803"/>
      <c r="AE10" s="803"/>
      <c r="AF10" s="806">
        <f>IF(ISNUMBER(Datos!L10),Datos!L10,"-")</f>
        <v>125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40</v>
      </c>
      <c r="AM10" s="810">
        <f>IF(ISNUMBER(Datos!N10+DatosP!N17),Datos!N10+DatosP!N17," - ")</f>
        <v>33</v>
      </c>
      <c r="AN10" s="810">
        <f>IF(ISNUMBER(Datos!BW10+DatosP!BW17),Datos!BW10+DatosP!BW17," - ")</f>
        <v>0</v>
      </c>
      <c r="AO10" s="811">
        <f>IF(ISNUMBER(Datos!BX10+DatosP!BX17),Datos!BX10+DatosP!BX17," - ")</f>
        <v>0</v>
      </c>
      <c r="AP10" s="813">
        <f>IF(ISNUMBER(((Datos!L10/Datos!K10)*11)/factor_trimestre),((Datos!L10/Datos!K10)*11)/factor_trimestre," - ")</f>
        <v>4.6875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249</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8</v>
      </c>
      <c r="F13" s="1084">
        <f t="shared" si="0"/>
        <v>134</v>
      </c>
      <c r="G13" s="1084">
        <f t="shared" si="0"/>
        <v>134</v>
      </c>
      <c r="H13" s="1084">
        <f t="shared" si="0"/>
        <v>0</v>
      </c>
      <c r="I13" s="1086">
        <f t="shared" si="0"/>
        <v>0</v>
      </c>
      <c r="J13" s="1085">
        <f t="shared" si="0"/>
        <v>0</v>
      </c>
      <c r="K13" s="1085">
        <f t="shared" si="0"/>
        <v>0</v>
      </c>
      <c r="L13" s="1087">
        <f t="shared" si="0"/>
        <v>0</v>
      </c>
      <c r="M13" s="1087">
        <f t="shared" si="0"/>
        <v>0</v>
      </c>
      <c r="N13" s="1085">
        <f t="shared" si="0"/>
        <v>12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80</v>
      </c>
      <c r="AC13" s="1085">
        <f t="shared" si="1"/>
        <v>0</v>
      </c>
      <c r="AD13" s="1085">
        <f t="shared" si="1"/>
        <v>0</v>
      </c>
      <c r="AE13" s="1085">
        <f t="shared" si="1"/>
        <v>0</v>
      </c>
      <c r="AF13" s="1085">
        <f t="shared" si="1"/>
        <v>125</v>
      </c>
      <c r="AG13" s="1085">
        <f t="shared" si="1"/>
        <v>0</v>
      </c>
      <c r="AH13" s="1085">
        <f t="shared" si="1"/>
        <v>0</v>
      </c>
      <c r="AI13" s="1085">
        <f t="shared" si="1"/>
        <v>0</v>
      </c>
      <c r="AJ13" s="1085">
        <f t="shared" si="1"/>
        <v>0</v>
      </c>
      <c r="AK13" s="1085">
        <f t="shared" si="1"/>
        <v>0</v>
      </c>
      <c r="AL13" s="1085">
        <f t="shared" si="1"/>
        <v>40</v>
      </c>
      <c r="AM13" s="1085">
        <f t="shared" si="1"/>
        <v>33</v>
      </c>
      <c r="AN13" s="1085">
        <f t="shared" si="1"/>
        <v>0</v>
      </c>
      <c r="AO13" s="1085">
        <f t="shared" si="1"/>
        <v>0</v>
      </c>
      <c r="AP13" s="1090">
        <f>IF(ISNUMBER(((Datos!L13/Datos!K13)*11)/factor_trimestre),((Datos!L13/Datos!K13)*11)/factor_trimestre," - ")</f>
        <v>21.163606010016697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-0.59701492537313428</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5</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5.2941176470588234</v>
      </c>
      <c r="AQ18" s="1090">
        <f>IF(ISNUMBER(((Datos!M18/Datos!L18)*11)/factor_trimestre),((Datos!M18/Datos!L18)*11)/factor_trimestre," - ")</f>
        <v>0.3079710144927536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-6.5252854812398037E-2</v>
      </c>
      <c r="AW18" s="1092">
        <f>IF(ISNUMBER((Datos!Q18-Datos!R18)/(Datos!S18-Datos!Q18+Datos!R18)),(Datos!Q18-Datos!R18)/(Datos!S18-Datos!Q18+Datos!R18)," - ")</f>
        <v>-0.15904505716207129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8</v>
      </c>
      <c r="F19" s="1097">
        <f t="shared" si="4"/>
        <v>134</v>
      </c>
      <c r="G19" s="1097">
        <f t="shared" si="4"/>
        <v>134</v>
      </c>
      <c r="H19" s="1097">
        <f t="shared" si="4"/>
        <v>0</v>
      </c>
      <c r="I19" s="1098">
        <f t="shared" si="4"/>
        <v>0</v>
      </c>
      <c r="J19" s="1099">
        <f t="shared" si="4"/>
        <v>0</v>
      </c>
      <c r="K19" s="1099">
        <f t="shared" si="4"/>
        <v>0</v>
      </c>
      <c r="L19" s="1099">
        <f t="shared" si="4"/>
        <v>0</v>
      </c>
      <c r="M19" s="1099">
        <f t="shared" si="4"/>
        <v>0</v>
      </c>
      <c r="N19" s="1098">
        <f t="shared" si="4"/>
        <v>12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80</v>
      </c>
      <c r="AC19" s="1103">
        <f t="shared" si="5"/>
        <v>0</v>
      </c>
      <c r="AD19" s="1103">
        <f t="shared" si="5"/>
        <v>0</v>
      </c>
      <c r="AE19" s="1103">
        <f t="shared" si="5"/>
        <v>0</v>
      </c>
      <c r="AF19" s="1104">
        <f t="shared" si="5"/>
        <v>125</v>
      </c>
      <c r="AG19" s="1104">
        <f t="shared" si="5"/>
        <v>0</v>
      </c>
      <c r="AH19" s="1104">
        <f t="shared" si="5"/>
        <v>0</v>
      </c>
      <c r="AI19" s="1104">
        <f t="shared" si="5"/>
        <v>0</v>
      </c>
      <c r="AJ19" s="1105">
        <f t="shared" si="5"/>
        <v>0</v>
      </c>
      <c r="AK19" s="1105">
        <f t="shared" si="5"/>
        <v>0</v>
      </c>
      <c r="AL19" s="1097">
        <f t="shared" si="5"/>
        <v>40</v>
      </c>
      <c r="AM19" s="1097">
        <f t="shared" si="5"/>
        <v>33</v>
      </c>
      <c r="AN19" s="1097">
        <f t="shared" si="5"/>
        <v>0</v>
      </c>
      <c r="AO19" s="1097">
        <f t="shared" si="5"/>
        <v>0</v>
      </c>
      <c r="AP19" s="1097">
        <f>IF(ISNUMBER(((Datos!L19/Datos!K19)*11)/factor_trimestre),((Datos!L19/Datos!K19)*11)/factor_trimestre," - ")</f>
        <v>12.177407675597394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-0.59701492537313428</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9.2009685230024212E-3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89.333333333333329</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3.2041639575194445</v>
      </c>
      <c r="F21" s="869">
        <f>IF(ISNUMBER(STDEV(F8:F18)),STDEV(F8:F18),"-")</f>
        <v>77.364936071409858</v>
      </c>
      <c r="G21" s="870">
        <f>IF(ISNUMBER(STDEV(G8:G18)),STDEV(G8:G18),"-")</f>
        <v>77.364936071409858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46.188021535170058</v>
      </c>
      <c r="AC21" s="871">
        <f>IF(ISNUMBER(STDEV(AC8:AC18)),STDEV(AC8:AC18),"-")</f>
        <v>0</v>
      </c>
      <c r="AD21" s="874"/>
      <c r="AE21" s="874"/>
      <c r="AF21" s="874"/>
      <c r="AG21" s="874"/>
      <c r="AH21" s="874"/>
      <c r="AI21" s="874"/>
      <c r="AJ21" s="875">
        <f>IF(ISNUMBER(STDEV(AJ8:AJ18)),STDEV(AJ8:AJ18),"-")</f>
        <v>0</v>
      </c>
      <c r="AK21" s="877"/>
      <c r="AL21" s="869">
        <f>IF(ISNUMBER(STDEV(AL8:AL18)),STDEV(AL8:AL18),"-")</f>
        <v>23.094010767585029</v>
      </c>
      <c r="AM21" s="869"/>
      <c r="AN21" s="869">
        <f>IF(ISNUMBER(STDEV(AN8:AN18)),STDEV(AN8:AN18),"-")</f>
        <v>0</v>
      </c>
      <c r="AO21" s="875">
        <f>IF(ISNUMBER(STDEV(AO8:AO18)),STDEV(AO8:AO18),"-")</f>
        <v>0</v>
      </c>
      <c r="AP21" s="922">
        <f>IF(ISNUMBER(STDEV(AP8:AP18)),STDEV(AP8:AP18),"-")</f>
        <v>9.3422937505115851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m0BOux27INPwvYXqxOCq34LL/lB5BNbZ8ge2wfTxU3CqRWo3NyvaNdlafvk8Hp6Fqd5j2oMIL3ykBQ0FBmDAEg==" saltValue="xjR137xJTJhYAf2fSH/1e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REGION DE MURCIA</v>
      </c>
      <c r="C2" s="399"/>
      <c r="E2" s="399"/>
      <c r="F2" s="399"/>
      <c r="G2" s="399"/>
      <c r="H2" s="399"/>
    </row>
    <row r="3" spans="1:15" ht="39">
      <c r="A3" s="426" t="s">
        <v>221</v>
      </c>
      <c r="B3" s="402" t="str">
        <f>Criterios!A10 &amp;"  "&amp;Criterios!B10</f>
        <v>Provincias  MURCIA</v>
      </c>
      <c r="C3" s="426"/>
      <c r="F3" s="399"/>
      <c r="G3" s="399"/>
      <c r="H3" s="399"/>
    </row>
    <row r="4" spans="1:15" ht="13.5" thickBot="1">
      <c r="A4" s="399"/>
      <c r="B4" s="402" t="str">
        <f>Criterios!A11 &amp;"  "&amp;Criterios!B11</f>
        <v>Resumenes por Partidos Judiciales  CARTAGENA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5</v>
      </c>
      <c r="D9" s="414">
        <f>Datos!BK9</f>
        <v>0</v>
      </c>
      <c r="E9" s="414">
        <f>Datos!AQ9</f>
        <v>5</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5</v>
      </c>
      <c r="D15" s="414">
        <f>Datos!BK15</f>
        <v>0</v>
      </c>
      <c r="E15" s="414">
        <f>Datos!AQ15</f>
        <v>5</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OwbGuhkYFFQwXnB5FulkkylxdQIuVNgK6OfEkf4iSA0Kr+GgMEPQwLSmT7dYJBmGCcQLxuSNaYrhkucARMwUBA==" saltValue="J5y3MetiywGEE27k/qvSU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REGION DE MURCIA</v>
      </c>
      <c r="C2" s="438"/>
      <c r="D2" s="381"/>
    </row>
    <row r="3" spans="1:9" ht="19.5">
      <c r="A3" s="439" t="s">
        <v>11</v>
      </c>
      <c r="B3" s="440" t="str">
        <f>Criterios!A10 &amp;"  "&amp;Criterios!B10</f>
        <v>Provincias  MURCIA</v>
      </c>
      <c r="C3" s="438"/>
      <c r="D3" s="439"/>
    </row>
    <row r="4" spans="1:9" ht="13.5" thickBot="1">
      <c r="B4" s="440" t="str">
        <f>Criterios!A11 &amp;"  "&amp;Criterios!B11</f>
        <v>Resumenes por Partidos Judiciales  CARTAGENA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5</v>
      </c>
      <c r="C9" s="421">
        <f>Datos!AQ9</f>
        <v>5</v>
      </c>
      <c r="D9" s="414">
        <f>IF(ISNUMBER(Datos!M9),Datos!M9," - ")</f>
        <v>298</v>
      </c>
      <c r="E9" s="415">
        <f t="shared" ref="E9:E13" si="0">IF(ISNUMBER(D9/B9),D9/B9," - ")</f>
        <v>59.6</v>
      </c>
      <c r="F9" s="414">
        <f>IF(ISNUMBER(Datos!N9),Datos!N9," - ")</f>
        <v>390</v>
      </c>
      <c r="G9" s="415">
        <f t="shared" ref="G9:G13" si="1">IF(ISNUMBER(F9/B9),F9/B9," - ")</f>
        <v>78</v>
      </c>
      <c r="H9" s="414">
        <f>IF(ISNUMBER(Datos!O9),Datos!O9," - ")</f>
        <v>737</v>
      </c>
      <c r="I9" s="415">
        <f>IF(ISNUMBER(H9/B9),H9/B9," - ")</f>
        <v>147.4</v>
      </c>
    </row>
    <row r="10" spans="1:9">
      <c r="A10" s="413" t="str">
        <f>Datos!A10</f>
        <v>Jdos. Violencia contra la mujer</v>
      </c>
      <c r="B10" s="443">
        <f>Datos!AO10</f>
        <v>1</v>
      </c>
      <c r="C10" s="421">
        <f>Datos!AQ10</f>
        <v>1</v>
      </c>
      <c r="D10" s="414">
        <f>IF(ISNUMBER(Datos!M10),Datos!M10," - ")</f>
        <v>40</v>
      </c>
      <c r="E10" s="415">
        <f>IF(ISNUMBER(D10/B10),D10/B10," - ")</f>
        <v>40</v>
      </c>
      <c r="F10" s="414">
        <f>IF(ISNUMBER(Datos!N10),Datos!N10," - ")</f>
        <v>33</v>
      </c>
      <c r="G10" s="415">
        <f>IF(ISNUMBER(F10/B10),F10/B10," - ")</f>
        <v>33</v>
      </c>
      <c r="H10" s="414">
        <f>IF(ISNUMBER(Datos!O10),Datos!O10," - ")</f>
        <v>9</v>
      </c>
      <c r="I10" s="415">
        <f t="shared" ref="I10:I12" si="2">IF(ISNUMBER(H10/B10),H10/B10," - ")</f>
        <v>9</v>
      </c>
    </row>
    <row r="11" spans="1:9">
      <c r="A11" s="413" t="str">
        <f>Datos!A11</f>
        <v xml:space="preserve">Jdos. Familia                                   </v>
      </c>
      <c r="B11" s="443">
        <f>Datos!AO11</f>
        <v>2</v>
      </c>
      <c r="C11" s="421">
        <f>Datos!AQ11</f>
        <v>2</v>
      </c>
      <c r="D11" s="414">
        <f>IF(ISNUMBER(Datos!M11),Datos!M11," - ")</f>
        <v>81</v>
      </c>
      <c r="E11" s="415">
        <f t="shared" si="0"/>
        <v>40.5</v>
      </c>
      <c r="F11" s="414">
        <f>IF(ISNUMBER(Datos!N11),Datos!N11," - ")</f>
        <v>247</v>
      </c>
      <c r="G11" s="415">
        <f t="shared" si="1"/>
        <v>123.5</v>
      </c>
      <c r="H11" s="414">
        <f>IF(ISNUMBER(Datos!O11),Datos!O11," - ")</f>
        <v>214</v>
      </c>
      <c r="I11" s="415">
        <f t="shared" si="2"/>
        <v>107</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8</v>
      </c>
      <c r="C13" s="997">
        <f>Datos!AR13</f>
        <v>8</v>
      </c>
      <c r="D13" s="995">
        <f>SUBTOTAL(9,D9:D12)</f>
        <v>419</v>
      </c>
      <c r="E13" s="996">
        <f t="shared" si="0"/>
        <v>52.375</v>
      </c>
      <c r="F13" s="995">
        <f>SUBTOTAL(9,F9:F12)</f>
        <v>670</v>
      </c>
      <c r="G13" s="996">
        <f t="shared" si="1"/>
        <v>83.75</v>
      </c>
      <c r="H13" s="995">
        <f>SUBTOTAL(9,H9:H12)</f>
        <v>960</v>
      </c>
      <c r="I13" s="996">
        <f>IF(ISNUMBER(H13/B13),H13/B13," - ")</f>
        <v>120</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5</v>
      </c>
      <c r="C15" s="444">
        <f>Datos!AQ15</f>
        <v>5</v>
      </c>
      <c r="D15" s="414">
        <f>IF(ISNUMBER(Datos!M15),Datos!M15," - ")</f>
        <v>314</v>
      </c>
      <c r="E15" s="415">
        <f t="shared" ref="E15:E18" si="3">IF(ISNUMBER(D15/B15),D15/B15," - ")</f>
        <v>62.8</v>
      </c>
      <c r="F15" s="414">
        <f>IF(ISNUMBER(Datos!N15),Datos!N15," - ")</f>
        <v>1013</v>
      </c>
      <c r="G15" s="415">
        <f t="shared" ref="G15:G18" si="4">IF(ISNUMBER(F15/B15),F15/B15," - ")</f>
        <v>202.6</v>
      </c>
      <c r="H15" s="414">
        <f>IF(ISNUMBER(Datos!O15),Datos!O15," - ")</f>
        <v>45</v>
      </c>
      <c r="I15" s="415">
        <f t="shared" ref="I15:I17" si="5">IF(ISNUMBER(H15/B15),H15/B15," - ")</f>
        <v>9</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111</v>
      </c>
      <c r="E17" s="415">
        <f>IF(ISNUMBER(D17/B17),D17/B17," - ")</f>
        <v>111</v>
      </c>
      <c r="F17" s="414">
        <f>IF(ISNUMBER(Datos!N17),Datos!N17," - ")</f>
        <v>254</v>
      </c>
      <c r="G17" s="415">
        <f>IF(ISNUMBER(F17/B17),F17/B17," - ")</f>
        <v>254</v>
      </c>
      <c r="H17" s="414">
        <f>IF(ISNUMBER(Datos!O17),Datos!O17," - ")</f>
        <v>16</v>
      </c>
      <c r="I17" s="415">
        <f t="shared" si="5"/>
        <v>16</v>
      </c>
    </row>
    <row r="18" spans="1:9" ht="14.25" thickTop="1" thickBot="1">
      <c r="A18" s="994" t="str">
        <f>Datos!A18</f>
        <v>TOTAL</v>
      </c>
      <c r="B18" s="995">
        <f>Datos!AO18</f>
        <v>6</v>
      </c>
      <c r="C18" s="997">
        <f>Datos!AR18</f>
        <v>6</v>
      </c>
      <c r="D18" s="995">
        <f>SUBTOTAL(9,D15:D17)</f>
        <v>425</v>
      </c>
      <c r="E18" s="996">
        <f t="shared" si="3"/>
        <v>70.833333333333329</v>
      </c>
      <c r="F18" s="995">
        <f>SUBTOTAL(9,F15:F17)</f>
        <v>1267</v>
      </c>
      <c r="G18" s="996">
        <f t="shared" si="4"/>
        <v>211.16666666666666</v>
      </c>
      <c r="H18" s="995">
        <f>SUBTOTAL(9,H15:H17)</f>
        <v>61</v>
      </c>
      <c r="I18" s="996">
        <f>IF(ISNUMBER(H18/B18),H18/B18," - ")</f>
        <v>10.166666666666666</v>
      </c>
    </row>
    <row r="19" spans="1:9" ht="14.25" thickTop="1" thickBot="1">
      <c r="A19" s="939" t="str">
        <f>Datos!A19</f>
        <v>TOTAL JURISDICCIONES</v>
      </c>
      <c r="B19" s="940">
        <f>Datos!AP19</f>
        <v>13</v>
      </c>
      <c r="C19" s="940">
        <f>Datos!AR19</f>
        <v>13</v>
      </c>
      <c r="D19" s="940">
        <f>SUBTOTAL(9,D8:D18)</f>
        <v>844</v>
      </c>
      <c r="E19" s="941">
        <f>IF(ISNUMBER(D19/B19),D19/B19," - ")</f>
        <v>64.92307692307692</v>
      </c>
      <c r="F19" s="940">
        <f>SUBTOTAL(9,F8:F18)</f>
        <v>1937</v>
      </c>
      <c r="G19" s="941">
        <f>IF(ISNUMBER(F19/B19),F19/B19," - ")</f>
        <v>149</v>
      </c>
      <c r="H19" s="940">
        <f>SUBTOTAL(9,H8:H18)</f>
        <v>1021</v>
      </c>
      <c r="I19" s="941">
        <f>IF(ISNUMBER(H19/B19),H19/B19," - ")</f>
        <v>78.538461538461533</v>
      </c>
    </row>
    <row r="22" spans="1:9">
      <c r="A22" s="402" t="str">
        <f>Criterios!A4</f>
        <v>Fecha Informe: 06 oct. 2023</v>
      </c>
    </row>
    <row r="27" spans="1:9">
      <c r="A27" s="425"/>
    </row>
  </sheetData>
  <sheetProtection algorithmName="SHA-512" hashValue="rcxLufejk4ZLKv4RcPkO9Fcv3mHwtQLS2PXUTmVzn7bV5eTHRjQcoopq11Oo/90b1/NWOlthPfaMO4TK7Ca0SA==" saltValue="/juVo+26fLipytpM24/5t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REGION DE MURCIA</v>
      </c>
    </row>
    <row r="3" spans="1:4" ht="19.5">
      <c r="A3" s="445" t="s">
        <v>32</v>
      </c>
      <c r="B3" s="402" t="str">
        <f>Criterios!A10 &amp;"  "&amp;Criterios!B10</f>
        <v>Provincias  MURCIA</v>
      </c>
    </row>
    <row r="4" spans="1:4" ht="13.5" thickBot="1">
      <c r="B4" s="402" t="str">
        <f>Criterios!A11 &amp;"  "&amp;Criterios!B11</f>
        <v>Resumenes por Partidos Judiciales  CARTAGENA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408</v>
      </c>
      <c r="C9" s="450">
        <f>IF(ISNUMBER(Datos!Q9),Datos!Q9," - ")</f>
        <v>207</v>
      </c>
      <c r="D9" s="419">
        <f>IF(ISNUMBER(Datos!R9),Datos!R9," - ")</f>
        <v>12949</v>
      </c>
    </row>
    <row r="10" spans="1:4">
      <c r="A10" s="413" t="str">
        <f>Datos!A10</f>
        <v>Jdos. Violencia contra la mujer</v>
      </c>
      <c r="B10" s="449">
        <f>IF(ISNUMBER(Datos!P10),Datos!P10," - ")</f>
        <v>12</v>
      </c>
      <c r="C10" s="450">
        <f>IF(ISNUMBER(Datos!Q10),Datos!Q10," - ")</f>
        <v>21</v>
      </c>
      <c r="D10" s="419">
        <f>IF(ISNUMBER(Datos!R10),Datos!R10," - ")</f>
        <v>149</v>
      </c>
    </row>
    <row r="11" spans="1:4">
      <c r="A11" s="413" t="str">
        <f>Datos!A11</f>
        <v xml:space="preserve">Jdos. Familia                                   </v>
      </c>
      <c r="B11" s="449">
        <f>IF(ISNUMBER(Datos!P11),Datos!P11," - ")</f>
        <v>109</v>
      </c>
      <c r="C11" s="450">
        <f>IF(ISNUMBER(Datos!Q11),Datos!Q11," - ")</f>
        <v>128</v>
      </c>
      <c r="D11" s="419">
        <f>IF(ISNUMBER(Datos!R11),Datos!R11," - ")</f>
        <v>917</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529</v>
      </c>
      <c r="C13" s="999">
        <f>SUBTOTAL(9,C9:C12)</f>
        <v>356</v>
      </c>
      <c r="D13" s="997">
        <f>SUBTOTAL(9,D9:D12)</f>
        <v>14015</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44</v>
      </c>
      <c r="C15" s="450">
        <f>IF(ISNUMBER(Datos!Q15),Datos!Q15," - ")</f>
        <v>84</v>
      </c>
      <c r="D15" s="419">
        <f>IF(ISNUMBER(Datos!R15),Datos!R15," - ")</f>
        <v>541</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16</v>
      </c>
      <c r="C17" s="450">
        <f>IF(ISNUMBER(Datos!Q17),Datos!Q17," - ")</f>
        <v>16</v>
      </c>
      <c r="D17" s="419">
        <f>IF(ISNUMBER(Datos!R17),Datos!R17," - ")</f>
        <v>32</v>
      </c>
    </row>
    <row r="18" spans="1:4" ht="14.25" thickTop="1" thickBot="1">
      <c r="A18" s="994" t="str">
        <f>Datos!A18</f>
        <v>TOTAL</v>
      </c>
      <c r="B18" s="995">
        <f>SUBTOTAL(9,B15:B17)</f>
        <v>60</v>
      </c>
      <c r="C18" s="999">
        <f>SUBTOTAL(9,C15:C17)</f>
        <v>100</v>
      </c>
      <c r="D18" s="997">
        <f>SUBTOTAL(9,D15:D17)</f>
        <v>573</v>
      </c>
    </row>
    <row r="19" spans="1:4" ht="16.5" customHeight="1" thickTop="1" thickBot="1">
      <c r="A19" s="939" t="str">
        <f>Datos!A19</f>
        <v>TOTAL JURISDICCIONES</v>
      </c>
      <c r="B19" s="944">
        <f>SUBTOTAL(9,B8:B18)</f>
        <v>589</v>
      </c>
      <c r="C19" s="945">
        <f>SUBTOTAL(9,C8:C18)</f>
        <v>456</v>
      </c>
      <c r="D19" s="946">
        <f>SUBTOTAL(9,D8:D18)</f>
        <v>14588</v>
      </c>
    </row>
    <row r="20" spans="1:4" ht="7.5" customHeight="1"/>
    <row r="21" spans="1:4" ht="6" customHeight="1"/>
    <row r="22" spans="1:4">
      <c r="A22" s="402" t="str">
        <f>Criterios!A4</f>
        <v>Fecha Informe: 06 oct. 2023</v>
      </c>
    </row>
    <row r="27" spans="1:4">
      <c r="A27" s="425"/>
    </row>
  </sheetData>
  <sheetProtection algorithmName="SHA-512" hashValue="oWDOOg0O0CHNPtXPISYAt/uABkEvHbxIogHjVa+srP06AYgJjve1sUuyyjwtFdT9nAZC7daF2l1YD+S1EVK14w==" saltValue="ZlWzahT6Aq+57vQyWoq+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REGION DE MURCIA</v>
      </c>
    </row>
    <row r="3" spans="1:11" ht="18.75" customHeight="1">
      <c r="A3" s="445" t="s">
        <v>118</v>
      </c>
      <c r="B3" s="402" t="str">
        <f>Criterios!A10 &amp;"  "&amp;Criterios!B10</f>
        <v>Provincias  MURCIA</v>
      </c>
    </row>
    <row r="4" spans="1:11" ht="10.5" customHeight="1" thickBot="1">
      <c r="B4" s="402" t="str">
        <f>Criterios!A11 &amp;"  "&amp;Criterios!B11</f>
        <v>Resumenes por Partidos Judiciales  CARTAGENA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0.21491752330863018</v>
      </c>
      <c r="C9" s="472">
        <f>IF(ISNUMBER(
   IF(J_V="SI",(Datos!J9-Datos!T9)/Datos!T9,(Datos!J9+Datos!Z9-(Datos!T9+Datos!AH9))/(Datos!T9+Datos!AH9))
     ),IF(J_V="SI",(Datos!J9-Datos!T9)/Datos!T9,(Datos!J9+Datos!Z9-(Datos!T9+Datos!AH9))/(Datos!T9+Datos!AH9))," - ")</f>
        <v>1.9405450041288193E-2</v>
      </c>
      <c r="D9" s="472">
        <f>IF(ISNUMBER(
   IF(J_V="SI",(Datos!K9-Datos!U9)/Datos!U9,(Datos!K9+Datos!AA9-(Datos!U9+Datos!AI9))/(Datos!U9+Datos!AI9))
     ),IF(J_V="SI",(Datos!K9-Datos!U9)/Datos!U9,(Datos!K9+Datos!AA9-(Datos!U9+Datos!AI9))/(Datos!U9+Datos!AI9))," - ")</f>
        <v>-0.3928266438941076</v>
      </c>
      <c r="E9" s="472">
        <f>IF(ISNUMBER(
   IF(J_V="SI",(Datos!L9-Datos!V9)/Datos!V9,(Datos!L9+Datos!AB9-(Datos!V9+Datos!AJ9))/(Datos!V9+Datos!AJ9))
     ),IF(J_V="SI",(Datos!L9-Datos!V9)/Datos!V9,(Datos!L9+Datos!AB9-(Datos!V9+Datos!AJ9))/(Datos!V9+Datos!AJ9))," - ")</f>
        <v>0.32050674875680796</v>
      </c>
      <c r="F9" s="472">
        <f>IF(ISNUMBER((Datos!M9-Datos!W9)/Datos!W9),(Datos!M9-Datos!W9)/Datos!W9," - ")</f>
        <v>-0.16056338028169015</v>
      </c>
      <c r="G9" s="473">
        <f>IF(ISNUMBER((Datos!N9-Datos!X9)/Datos!X9),(Datos!N9-Datos!X9)/Datos!X9," - ")</f>
        <v>-0.57470010905125413</v>
      </c>
      <c r="H9" s="471">
        <f>IF(ISNUMBER(((NºAsuntos!G9/NºAsuntos!E9)-Datos!BD9)/Datos!BD9),((NºAsuntos!G9/NºAsuntos!E9)-Datos!BD9)/Datos!BD9," - ")</f>
        <v>-0.40438482442751261</v>
      </c>
      <c r="I9" s="472">
        <f>IF(ISNUMBER(((NºAsuntos!I9/NºAsuntos!G9)-Datos!BE9)/Datos!BE9),((NºAsuntos!I9/NºAsuntos!G9)-Datos!BE9)/Datos!BE9," - ")</f>
        <v>1.1748430419046725</v>
      </c>
      <c r="J9" s="477">
        <f>IF(ISNUMBER((('Resol  Asuntos'!D9/NºAsuntos!G9)-Datos!BF9)/Datos!BF9),(('Resol  Asuntos'!D9/NºAsuntos!G9)-Datos!BF9)/Datos!BF9," - ")</f>
        <v>-0.46477767194744679</v>
      </c>
      <c r="K9" s="478">
        <f>IF(ISNUMBER((((NºAsuntos!C9+NºAsuntos!E9)/NºAsuntos!G9)-Datos!BG9)/Datos!BG9),(((NºAsuntos!C9+NºAsuntos!E9)/NºAsuntos!G9)-Datos!BG9)/Datos!BG9," - ")</f>
        <v>0.92864747359544697</v>
      </c>
    </row>
    <row r="10" spans="1:11">
      <c r="A10" s="413" t="str">
        <f>Datos!A10</f>
        <v>Jdos. Violencia contra la mujer</v>
      </c>
      <c r="B10" s="471">
        <f>IF(ISNUMBER((Datos!I10-Datos!S10)/Datos!S10),(Datos!I10-Datos!S10)/Datos!S10," - ")</f>
        <v>0.34</v>
      </c>
      <c r="C10" s="472">
        <f>IF(ISNUMBER((Datos!J10-Datos!T10)/Datos!T10),(Datos!J10-Datos!T10)/Datos!T10," - ")</f>
        <v>-6.5789473684210523E-2</v>
      </c>
      <c r="D10" s="472">
        <f>IF(ISNUMBER((Datos!K10-Datos!U10)/Datos!U10),(Datos!K10-Datos!U10)/Datos!U10," - ")</f>
        <v>0.17647058823529413</v>
      </c>
      <c r="E10" s="472">
        <f>IF(ISNUMBER((Datos!L10-Datos!V10)/Datos!V10),(Datos!L10-Datos!V10)/Datos!V10," - ")</f>
        <v>0.21359223300970873</v>
      </c>
      <c r="F10" s="472">
        <f>IF(ISNUMBER((Datos!M10-Datos!W10)/Datos!W10),(Datos!M10-Datos!W10)/Datos!W10," - ")</f>
        <v>1.3529411764705883</v>
      </c>
      <c r="G10" s="473">
        <f>IF(ISNUMBER((Datos!N10-Datos!X10)/Datos!X10),(Datos!N10-Datos!X10)/Datos!X10," - ")</f>
        <v>0.22222222222222221</v>
      </c>
      <c r="H10" s="471">
        <f>IF(ISNUMBER(((NºAsuntos!G10/NºAsuntos!E10)-Datos!BD10)/Datos!BD10),((NºAsuntos!G10/NºAsuntos!E10)-Datos!BD10)/Datos!BD10," - ")</f>
        <v>0.25932062966031488</v>
      </c>
      <c r="I10" s="472">
        <f>IF(ISNUMBER(((NºAsuntos!I10/NºAsuntos!G10)-Datos!BE10)/Datos!BE10),((NºAsuntos!I10/NºAsuntos!G10)-Datos!BE10)/Datos!BE10," - ")</f>
        <v>3.1553398058252462E-2</v>
      </c>
      <c r="J10" s="477">
        <f>IF(ISNUMBER((('Resol  Asuntos'!D10/NºAsuntos!G10)-Datos!BF10)/Datos!BF10),(('Resol  Asuntos'!D10/NºAsuntos!G10)-Datos!BF10)/Datos!BF10," - ")</f>
        <v>1</v>
      </c>
      <c r="K10" s="478">
        <f>IF(ISNUMBER((((NºAsuntos!C10+NºAsuntos!E10)/NºAsuntos!G10)-Datos!BG10)/Datos!BG10),(((NºAsuntos!C10+NºAsuntos!E10)/NºAsuntos!G10)-Datos!BG10)/Datos!BG10," - ")</f>
        <v>-9.9431818181818683E-3</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6.9306930693069313E-2</v>
      </c>
      <c r="C11" s="472">
        <f>IF(ISNUMBER(
   IF(J_V="SI",(Datos!J11-Datos!T11)/Datos!T11,(Datos!J11+Datos!Z11-(Datos!T11+Datos!AH11))/(Datos!T11+Datos!AH11))
     ),IF(J_V="SI",(Datos!J11-Datos!T11)/Datos!T11,(Datos!J11+Datos!Z11-(Datos!T11+Datos!AH11))/(Datos!T11+Datos!AH11))," - ")</f>
        <v>0.22739361702127658</v>
      </c>
      <c r="D11" s="472">
        <f>IF(ISNUMBER(
   IF(J_V="SI",(Datos!K11-Datos!U11)/Datos!U11,(Datos!K11+Datos!AA11-(Datos!U11+Datos!AI11))/(Datos!U11+Datos!AI11))
     ),IF(J_V="SI",(Datos!K11-Datos!U11)/Datos!U11,(Datos!K11+Datos!AA11-(Datos!U11+Datos!AI11))/(Datos!U11+Datos!AI11))," - ")</f>
        <v>-0.36494597839135656</v>
      </c>
      <c r="E11" s="472">
        <f>IF(ISNUMBER(
   IF(J_V="SI",(Datos!L11-Datos!V11)/Datos!V11,(Datos!L11+Datos!AB11-(Datos!V11+Datos!AJ11))/(Datos!V11+Datos!AJ11))
     ),IF(J_V="SI",(Datos!L11-Datos!V11)/Datos!V11,(Datos!L11+Datos!AB11-(Datos!V11+Datos!AJ11))/(Datos!V11+Datos!AJ11))," - ")</f>
        <v>0.41830985915492958</v>
      </c>
      <c r="F11" s="472">
        <f>IF(ISNUMBER((Datos!M11-Datos!W11)/Datos!W11),(Datos!M11-Datos!W11)/Datos!W11," - ")</f>
        <v>-0.64</v>
      </c>
      <c r="G11" s="473">
        <f>IF(ISNUMBER((Datos!N11-Datos!X11)/Datos!X11),(Datos!N11-Datos!X11)/Datos!X11," - ")</f>
        <v>-0.37626262626262624</v>
      </c>
      <c r="H11" s="471">
        <f>IF(ISNUMBER(((NºAsuntos!G11/NºAsuntos!E11)-Datos!BD11)/Datos!BD11),((NºAsuntos!G11/NºAsuntos!E11)-Datos!BD11)/Datos!BD11," - ")</f>
        <v>-0.48259954035785496</v>
      </c>
      <c r="I11" s="472">
        <f>IF(ISNUMBER(((NºAsuntos!I11/NºAsuntos!G11)-Datos!BE11)/Datos!BE11),((NºAsuntos!I11/NºAsuntos!G11)-Datos!BE11)/Datos!BE11," - ")</f>
        <v>1.2333688330360235</v>
      </c>
      <c r="J11" s="477">
        <f>IF(ISNUMBER((('Resol  Asuntos'!D11/NºAsuntos!G11)-Datos!BF11)/Datos!BF11),(('Resol  Asuntos'!D11/NºAsuntos!G11)-Datos!BF11)/Datos!BF11," - ")</f>
        <v>-0.67790857535659044</v>
      </c>
      <c r="K11" s="478">
        <f>IF(ISNUMBER((((NºAsuntos!C11+NºAsuntos!E11)/NºAsuntos!G11)-Datos!BG11)/Datos!BG11),(((NºAsuntos!C11+NºAsuntos!E11)/NºAsuntos!G11)-Datos!BG11)/Datos!BG11," - ")</f>
        <v>0.76638012479539197</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0.19406873058811741</v>
      </c>
      <c r="C13" s="1001">
        <f>IF(ISNUMBER(
   IF(J_V="SI",(Datos!J13-Datos!T13)/Datos!T13,(Datos!J13+Datos!Z13-(Datos!T13+Datos!AH13))/(Datos!T13+Datos!AH13))
     ),IF(J_V="SI",(Datos!J13-Datos!T13)/Datos!T13,(Datos!J13+Datos!Z13-(Datos!T13+Datos!AH13))/(Datos!T13+Datos!AH13))," - ")</f>
        <v>6.5538461538461532E-2</v>
      </c>
      <c r="D13" s="1001">
        <f>IF(ISNUMBER(
   IF(J_V="SI",(Datos!K13-Datos!U13)/Datos!U13,(Datos!K13+Datos!AA13-(Datos!U13+Datos!AI13))/(Datos!U13+Datos!AI13))
     ),IF(J_V="SI",(Datos!K13-Datos!U13)/Datos!U13,(Datos!K13+Datos!AA13-(Datos!U13+Datos!AI13))/(Datos!U13+Datos!AI13))," - ")</f>
        <v>-0.37372802960222018</v>
      </c>
      <c r="E13" s="1001">
        <f>IF(ISNUMBER(
   IF(J_V="SI",(Datos!L13-Datos!V13)/Datos!V13,(Datos!L13+Datos!AB13-(Datos!V13+Datos!AJ13))/(Datos!V13+Datos!AJ13))
     ),IF(J_V="SI",(Datos!L13-Datos!V13)/Datos!V13,(Datos!L13+Datos!AB13-(Datos!V13+Datos!AJ13))/(Datos!V13+Datos!AJ13))," - ")</f>
        <v>0.33333333333333331</v>
      </c>
      <c r="F13" s="1002">
        <f>IF(ISNUMBER((Datos!M13-Datos!W13)/Datos!W13),(Datos!M13-Datos!W13)/Datos!W13," - ")</f>
        <v>-0.2981574539363484</v>
      </c>
      <c r="G13" s="1003">
        <f>IF(ISNUMBER((Datos!N13-Datos!X13)/Datos!X13),(Datos!N13-Datos!X13)/Datos!X13," - ")</f>
        <v>-0.5</v>
      </c>
      <c r="H13" s="1003">
        <f>IF(ISNUMBER(((NºAsuntos!G13/NºAsuntos!E13)-Datos!BD13)/Datos!BD13),((NºAsuntos!G13/NºAsuntos!E13)-Datos!BD13)/Datos!BD13," - ")</f>
        <v>-0.41224836737141657</v>
      </c>
      <c r="I13" s="1003">
        <f>IF(ISNUMBER(((NºAsuntos!I13/NºAsuntos!G13)-Datos!BE13)/Datos!BE13),((NºAsuntos!I13/NºAsuntos!G13)-Datos!BE13)/Datos!BE13," - ")</f>
        <v>1.1290004923682915</v>
      </c>
      <c r="J13" s="1003">
        <f>IF(ISNUMBER((('Resol  Asuntos'!D13/NºAsuntos!G13)-Datos!BF13)/Datos!BF13),(('Resol  Asuntos'!D13/NºAsuntos!G13)-Datos!BF13)/Datos!BF13," - ")</f>
        <v>-0.49696360546861978</v>
      </c>
      <c r="K13" s="1003">
        <f>IF(ISNUMBER((((NºAsuntos!C13+NºAsuntos!E13)/NºAsuntos!G13)-Datos!BG13)/Datos!BG13),(((NºAsuntos!C13+NºAsuntos!E13)/NºAsuntos!G13)-Datos!BG13)/Datos!BG13," - ")</f>
        <v>0.85621777868925408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0.34822934232715008</v>
      </c>
      <c r="C15" s="472">
        <f>IF(ISNUMBER(
   IF(D_I="SI",(Datos!J15-Datos!T15)/Datos!T15,(Datos!J15+Datos!AD15-(Datos!T15+Datos!AL15))/(Datos!T15+Datos!AL15))
     ),IF(D_I="SI",(Datos!J15-Datos!T15)/Datos!T15,(Datos!J15+Datos!AD15-(Datos!T15+Datos!AL15))/(Datos!T15+Datos!AL15))," - ")</f>
        <v>-0.18080625752105897</v>
      </c>
      <c r="D15" s="472">
        <f>IF(ISNUMBER(
   IF(D_I="SI",(Datos!K15-Datos!U15)/Datos!U15,(Datos!K15+Datos!AE15-(Datos!U15+Datos!AM15))/(Datos!U15+Datos!AM15))
     ),IF(D_I="SI",(Datos!K15-Datos!U15)/Datos!U15,(Datos!K15+Datos!AE15-(Datos!U15+Datos!AM15))/(Datos!U15+Datos!AM15))," - ")</f>
        <v>-0.4090625</v>
      </c>
      <c r="E15" s="472">
        <f>IF(ISNUMBER(
   IF(D_I="SI",(Datos!L15-Datos!V15)/Datos!V15,(Datos!L15+Datos!AF15-(Datos!V15+Datos!AN15))/(Datos!V15+Datos!AN15))
     ),IF(D_I="SI",(Datos!L15-Datos!V15)/Datos!V15,(Datos!L15+Datos!AF15-(Datos!V15+Datos!AN15))/(Datos!V15+Datos!AN15))," - ")</f>
        <v>0.62979410577311268</v>
      </c>
      <c r="F15" s="472">
        <f>IF(ISNUMBER((Datos!M15-Datos!W15)/Datos!W15),(Datos!M15-Datos!W15)/Datos!W15," - ")</f>
        <v>-0.41417910447761191</v>
      </c>
      <c r="G15" s="473">
        <f>IF(ISNUMBER((Datos!N15-Datos!X15)/Datos!X15),(Datos!N15-Datos!X15)/Datos!X15," - ")</f>
        <v>-0.42114285714285715</v>
      </c>
      <c r="H15" s="471">
        <f>IF(ISNUMBER(((NºAsuntos!G15/NºAsuntos!E15)-Datos!BD15)/Datos!BD15),((NºAsuntos!G15/NºAsuntos!E15)-Datos!BD15)/Datos!BD15," - ")</f>
        <v>-0.27863523687109798</v>
      </c>
      <c r="I15" s="472">
        <f>IF(ISNUMBER(((NºAsuntos!I15/NºAsuntos!G15)-Datos!BE15)/Datos!BE15),((NºAsuntos!I15/NºAsuntos!G15)-Datos!BE15)/Datos!BE15," - ")</f>
        <v>1.7579805068608996</v>
      </c>
      <c r="J15" s="477">
        <f>IF(ISNUMBER((('Resol  Asuntos'!D15/NºAsuntos!G15)-Datos!BF15)/Datos!BF15),(('Resol  Asuntos'!D15/NºAsuntos!G15)-Datos!BF15)/Datos!BF15," - ")</f>
        <v>-8.6584528441873837E-3</v>
      </c>
      <c r="K15" s="478">
        <f>IF(ISNUMBER((((NºAsuntos!C15+NºAsuntos!E15)/NºAsuntos!G15)-Datos!BG15)/Datos!BG15),(((NºAsuntos!C15+NºAsuntos!E15)/NºAsuntos!G15)-Datos!BG15)/Datos!BG15," - ")</f>
        <v>0.75907165223798123</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-0.14728682170542637</v>
      </c>
      <c r="C17" s="472">
        <f>IF(ISNUMBER(
   IF(D_I="SI",(Datos!J17-Datos!T17)/Datos!T17,(Datos!J17+Datos!AD17-(Datos!T17+Datos!AL17))/(Datos!T17+Datos!AL17))
     ),IF(D_I="SI",(Datos!J17-Datos!T17)/Datos!T17,(Datos!J17+Datos!AD17-(Datos!T17+Datos!AL17))/(Datos!T17+Datos!AL17))," - ")</f>
        <v>7.7294685990338161E-2</v>
      </c>
      <c r="D17" s="472">
        <f>IF(ISNUMBER(
   IF(D_I="SI",(Datos!K17-Datos!U17)/Datos!U17,(Datos!K17+Datos!AE17-(Datos!U17+Datos!AM17))/(Datos!U17+Datos!AM17))
     ),IF(D_I="SI",(Datos!K17-Datos!U17)/Datos!U17,(Datos!K17+Datos!AE17-(Datos!U17+Datos!AM17))/(Datos!U17+Datos!AM17))," - ")</f>
        <v>0.12623762376237624</v>
      </c>
      <c r="E17" s="472">
        <f>IF(ISNUMBER(
   IF(D_I="SI",(Datos!L17-Datos!V17)/Datos!V17,(Datos!L17+Datos!AF17-(Datos!V17+Datos!AN17))/(Datos!V17+Datos!AN17))
     ),IF(D_I="SI",(Datos!L17-Datos!V17)/Datos!V17,(Datos!L17+Datos!AF17-(Datos!V17+Datos!AN17))/(Datos!V17+Datos!AN17))," - ")</f>
        <v>-0.25899280575539568</v>
      </c>
      <c r="F17" s="472">
        <f>IF(ISNUMBER((Datos!M17-Datos!W17)/Datos!W17),(Datos!M17-Datos!W17)/Datos!W17," - ")</f>
        <v>0.24719101123595505</v>
      </c>
      <c r="G17" s="473">
        <f>IF(ISNUMBER((Datos!N17-Datos!X17)/Datos!X17),(Datos!N17-Datos!X17)/Datos!X17," - ")</f>
        <v>0.14414414414414414</v>
      </c>
      <c r="H17" s="471">
        <f>IF(ISNUMBER(((NºAsuntos!G17/NºAsuntos!E17)-Datos!BD17)/Datos!BD17),((NºAsuntos!G17/NºAsuntos!E17)-Datos!BD17)/Datos!BD17," - ")</f>
        <v>4.5431336855658602E-2</v>
      </c>
      <c r="I17" s="472">
        <f>IF(ISNUMBER(((NºAsuntos!I17/NºAsuntos!G17)-Datos!BE17)/Datos!BE17),((NºAsuntos!I17/NºAsuntos!G17)-Datos!BE17)/Datos!BE17," - ")</f>
        <v>-0.34205075500039522</v>
      </c>
      <c r="J17" s="477">
        <f>IF(ISNUMBER((('Resol  Asuntos'!D17/NºAsuntos!G17)-Datos!BF17)/Datos!BF17),(('Resol  Asuntos'!D17/NºAsuntos!G17)-Datos!BF17)/Datos!BF17," - ")</f>
        <v>0.10739597481170511</v>
      </c>
      <c r="K17" s="478">
        <f>IF(ISNUMBER((((NºAsuntos!C17+NºAsuntos!E17)/NºAsuntos!G17)-Datos!BG17)/Datos!BG17),(((NºAsuntos!C17+NºAsuntos!E17)/NºAsuntos!G17)-Datos!BG17)/Datos!BG17," - ")</f>
        <v>-9.0830348288911802E-2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0.32267093162734906</v>
      </c>
      <c r="C18" s="1001">
        <f>IF(ISNUMBER(
   IF(Criterios!B14="SI",(Datos!J18-Datos!T18)/Datos!T18,(Datos!J18+Datos!AD18-(Datos!T18+Datos!AL18))/(Datos!T18+Datos!AL18))
     ),IF(Criterios!B14="SI",(Datos!J18-Datos!T18)/Datos!T18,(Datos!J18+Datos!AD18-(Datos!T18+Datos!AL18))/(Datos!T18+Datos!AL18))," - ")</f>
        <v>-0.15222043873729266</v>
      </c>
      <c r="D18" s="1001">
        <f>IF(ISNUMBER(
   IF(Criterios!B14="SI",(Datos!K18-Datos!U18)/Datos!U18,(Datos!K18+Datos!AE18-(Datos!U18+Datos!AM18))/(Datos!U18+Datos!AM18))
     ),IF(Criterios!B14="SI",(Datos!K18-Datos!U18)/Datos!U18,(Datos!K18+Datos!AE18-(Datos!U18+Datos!AM18))/(Datos!U18+Datos!AM18))," - ")</f>
        <v>-0.34905660377358488</v>
      </c>
      <c r="E18" s="1001">
        <f>IF(ISNUMBER(
   IF(Criterios!B14="SI",(Datos!L18-Datos!V18)/Datos!V18,(Datos!L18+Datos!AF18-(Datos!V18+Datos!AN18))/(Datos!V18+Datos!AN18))
     ),IF(Criterios!B14="SI",(Datos!L18-Datos!V18)/Datos!V18,(Datos!L18+Datos!AF18-(Datos!V18+Datos!AN18))/(Datos!V18+Datos!AN18))," - ")</f>
        <v>0.58256880733944949</v>
      </c>
      <c r="F18" s="1002">
        <f>IF(ISNUMBER((Datos!M18-Datos!W18)/Datos!W18),(Datos!M18-Datos!W18)/Datos!W18," - ")</f>
        <v>-0.32</v>
      </c>
      <c r="G18" s="1003">
        <f>IF(ISNUMBER((Datos!N18-Datos!X18)/Datos!X18),(Datos!N18-Datos!X18)/Datos!X18," - ")</f>
        <v>-0.35750507099391482</v>
      </c>
      <c r="H18" s="1003">
        <f>IF(ISNUMBER(((NºAsuntos!G18/NºAsuntos!E18)-Datos!BD18)/Datos!BD18),((NºAsuntos!G18/NºAsuntos!E18)-Datos!BD18)/Datos!BD18," - ")</f>
        <v>-0.23217847425233842</v>
      </c>
      <c r="I18" s="1003">
        <f>IF(ISNUMBER(((NºAsuntos!I18/NºAsuntos!G18)-Datos!BE18)/Datos!BE18),((NºAsuntos!I18/NºAsuntos!G18)-Datos!BE18)/Datos!BE18," - ")</f>
        <v>1.4311926605504586</v>
      </c>
      <c r="J18" s="1003">
        <f>IF(ISNUMBER((('Resol  Asuntos'!D18/NºAsuntos!G18)-Datos!BF18)/Datos!BF18),(('Resol  Asuntos'!D18/NºAsuntos!G18)-Datos!BF18)/Datos!BF18," - ")</f>
        <v>4.4637681159420267E-2</v>
      </c>
      <c r="K18" s="1003">
        <f>IF(ISNUMBER((((NºAsuntos!C18+NºAsuntos!E18)/NºAsuntos!G18)-Datos!BG18)/Datos!BG18),(((NºAsuntos!C18+NºAsuntos!E18)/NºAsuntos!G18)-Datos!BG18)/Datos!BG18," - ")</f>
        <v>0.59483473522094532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0.21983656465310047</v>
      </c>
      <c r="C19" s="948">
        <f>IF(ISNUMBER(
   IF(J_V="SI",(Datos!J19-Datos!T19)/Datos!T19,(Datos!J19+Datos!Z19-(Datos!T19+Datos!AH19))/(Datos!T19+Datos!AH19))
     ),IF(J_V="SI",(Datos!J19-Datos!T19)/Datos!T19,(Datos!J19+Datos!Z19-(Datos!T19+Datos!AH19))/(Datos!T19+Datos!AH19))," - ")</f>
        <v>-5.0944476244991412E-2</v>
      </c>
      <c r="D19" s="948">
        <f>IF(ISNUMBER(
   IF(J_V="SI",(Datos!K19-Datos!U19)/Datos!U19,(Datos!K19+Datos!AA19-(Datos!U19+Datos!AI19))/(Datos!U19+Datos!AI19))
     ),IF(J_V="SI",(Datos!K19-Datos!U19)/Datos!U19,(Datos!K19+Datos!AA19-(Datos!U19+Datos!AI19))/(Datos!U19+Datos!AI19))," - ")</f>
        <v>-0.36074193077260114</v>
      </c>
      <c r="E19" s="948">
        <f>IF(ISNUMBER(
   IF(J_V="SI",(Datos!L19-Datos!V19)/Datos!V19,(Datos!L19+Datos!AB19-(Datos!V19+Datos!AJ19))/(Datos!V19+Datos!AJ19))
     ),IF(J_V="SI",(Datos!L19-Datos!V19)/Datos!V19,(Datos!L19+Datos!AB19-(Datos!V19+Datos!AJ19))/(Datos!V19+Datos!AJ19))," - ")</f>
        <v>0.38514104092173224</v>
      </c>
      <c r="F19" s="949">
        <f>IF(ISNUMBER((Datos!M19-Datos!W19)/Datos!W19),(Datos!M19-Datos!W19)/Datos!W19," - ")</f>
        <v>-0.30932896890343697</v>
      </c>
      <c r="G19" s="950">
        <f>IF(ISNUMBER((Datos!N19-Datos!X19)/Datos!X19),(Datos!N19-Datos!X19)/Datos!X19," - ")</f>
        <v>-0.41515700483091789</v>
      </c>
      <c r="H19" s="951">
        <f>IF(ISNUMBER((Tasas!B19-Datos!BD19)/Datos!BD19),(Tasas!B19-Datos!BD19)/Datos!BD19," - ")</f>
        <v>-0.32642711282251757</v>
      </c>
      <c r="I19" s="952">
        <f>IF(ISNUMBER((Tasas!C19-Datos!BE19)/Datos!BE19),(Tasas!C19-Datos!BE19)/Datos!BE19," - ")</f>
        <v>1.1667947697489376</v>
      </c>
      <c r="J19" s="953">
        <f>IF(ISNUMBER((Tasas!D19-Datos!BF19)/Datos!BF19),(Tasas!D19-Datos!BF19)/Datos!BF19," - ")</f>
        <v>-0.32466467649133141</v>
      </c>
      <c r="K19" s="953">
        <f>IF(ISNUMBER((Tasas!E19-Datos!BG19)/Datos!BG19),(Tasas!E19-Datos!BG19)/Datos!BG19," - ")</f>
        <v>0.75617686372208259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WZP5KupJK4fq5TV1JZqKFfqD6mQb38igUoRXf/9D4bpIcd6IGaivbvD+kA5C2PPQZOnnKHv3ZmjtjfOIjHpuJA==" saltValue="1XRzJvMHhIhSviR3mdG+y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REGION DE MURCIA</v>
      </c>
    </row>
    <row r="3" spans="1:7" ht="19.5">
      <c r="A3" s="452" t="s">
        <v>12</v>
      </c>
      <c r="B3" s="402" t="str">
        <f>Criterios!A10 &amp;"  "&amp;Criterios!B10</f>
        <v>Provincias  MURCIA</v>
      </c>
    </row>
    <row r="4" spans="1:7" ht="11.25" customHeight="1" thickBot="1">
      <c r="B4" s="402" t="str">
        <f>Criterios!A11 &amp;"  "&amp;Criterios!B11</f>
        <v>Resumenes por Partidos Judiciales  CARTAGENA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0.57594167679222352</v>
      </c>
      <c r="C9" s="459">
        <f>IF(ISNUMBER(NºAsuntos!I9/NºAsuntos!G9),NºAsuntos!I9/NºAsuntos!G9," - ")</f>
        <v>7.843178621659634</v>
      </c>
      <c r="D9" s="460">
        <f>IF(ISNUMBER('Resol  Asuntos'!D9/NºAsuntos!G9),'Resol  Asuntos'!D9/NºAsuntos!G9," - ")</f>
        <v>0.20956399437412096</v>
      </c>
      <c r="E9" s="461">
        <f>IF(ISNUMBER((NºAsuntos!C9+NºAsuntos!E9)/NºAsuntos!G9),(NºAsuntos!C9+NºAsuntos!E9)/NºAsuntos!G9," - ")</f>
        <v>8.8839662447257393</v>
      </c>
      <c r="G9" s="479"/>
    </row>
    <row r="10" spans="1:7">
      <c r="A10" s="413" t="str">
        <f>Datos!A10</f>
        <v>Jdos. Violencia contra la mujer</v>
      </c>
      <c r="B10" s="458">
        <f>IF(ISNUMBER(NºAsuntos!G10/NºAsuntos!E10),NºAsuntos!G10/NºAsuntos!E10," - ")</f>
        <v>1.1267605633802817</v>
      </c>
      <c r="C10" s="459">
        <f>IF(ISNUMBER(NºAsuntos!I10/NºAsuntos!G10),NºAsuntos!I10/NºAsuntos!G10," - ")</f>
        <v>1.5625</v>
      </c>
      <c r="D10" s="460">
        <f>IF(ISNUMBER('Resol  Asuntos'!D10/NºAsuntos!G10),'Resol  Asuntos'!D10/NºAsuntos!G10," - ")</f>
        <v>0.5</v>
      </c>
      <c r="E10" s="461">
        <f>IF(ISNUMBER((NºAsuntos!C10+NºAsuntos!E10)/NºAsuntos!G10),(NºAsuntos!C10+NºAsuntos!E10)/NºAsuntos!G10," - ")</f>
        <v>2.5625</v>
      </c>
      <c r="G10" s="479"/>
    </row>
    <row r="11" spans="1:7">
      <c r="A11" s="413" t="str">
        <f>Datos!A11</f>
        <v xml:space="preserve">Jdos. Familia                                   </v>
      </c>
      <c r="B11" s="458">
        <f>IF(ISNUMBER(NºAsuntos!G11/NºAsuntos!E11),NºAsuntos!G11/NºAsuntos!E11," - ")</f>
        <v>0.5731310942578548</v>
      </c>
      <c r="C11" s="459">
        <f>IF(ISNUMBER(NºAsuntos!I11/NºAsuntos!G11),NºAsuntos!I11/NºAsuntos!G11," - ")</f>
        <v>3.8071833648393194</v>
      </c>
      <c r="D11" s="460">
        <f>IF(ISNUMBER('Resol  Asuntos'!D11/NºAsuntos!G11),'Resol  Asuntos'!D11/NºAsuntos!G11," - ")</f>
        <v>0.15311909262759923</v>
      </c>
      <c r="E11" s="461">
        <f>IF(ISNUMBER((NºAsuntos!C11+NºAsuntos!E11)/NºAsuntos!G11),(NºAsuntos!C11+NºAsuntos!E11)/NºAsuntos!G11," - ")</f>
        <v>4.8071833648393199</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0.58648570603522954</v>
      </c>
      <c r="C13" s="1005">
        <f>IF(ISNUMBER(NºAsuntos!I13/NºAsuntos!G13),NºAsuntos!I13/NºAsuntos!G13," - ")</f>
        <v>6.5445593303791236</v>
      </c>
      <c r="D13" s="1006">
        <f>IF(ISNUMBER('Resol  Asuntos'!D13/NºAsuntos!G13),'Resol  Asuntos'!D13/NºAsuntos!G13," - ")</f>
        <v>0.20630231413096997</v>
      </c>
      <c r="E13" s="1007">
        <f>IF(ISNUMBER((NºAsuntos!C13+NºAsuntos!E13)/NºAsuntos!G13),(NºAsuntos!C13+NºAsuntos!E13)/NºAsuntos!G13," - ")</f>
        <v>7.5731166912850814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0.69445464561145798</v>
      </c>
      <c r="C15" s="459">
        <f>IF(ISNUMBER(NºAsuntos!I15/NºAsuntos!G15),NºAsuntos!I15/NºAsuntos!G15," - ")</f>
        <v>2.134849286092015</v>
      </c>
      <c r="D15" s="460">
        <f>IF(ISNUMBER('Resol  Asuntos'!D15/NºAsuntos!G15),'Resol  Asuntos'!D15/NºAsuntos!G15," - ")</f>
        <v>0.16604970914859862</v>
      </c>
      <c r="E15" s="461">
        <f>IF(ISNUMBER((NºAsuntos!C15+NºAsuntos!E15)/NºAsuntos!G15),(NºAsuntos!C15+NºAsuntos!E15)/NºAsuntos!G15," - ")</f>
        <v>3.1311475409836067</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1.0201793721973094</v>
      </c>
      <c r="C17" s="459">
        <f>IF(ISNUMBER(NºAsuntos!I17/NºAsuntos!G17),NºAsuntos!I17/NºAsuntos!G17," - ")</f>
        <v>0.22637362637362637</v>
      </c>
      <c r="D17" s="460">
        <f>IF(ISNUMBER('Resol  Asuntos'!D17/NºAsuntos!G17),'Resol  Asuntos'!D17/NºAsuntos!G17," - ")</f>
        <v>0.24395604395604395</v>
      </c>
      <c r="E17" s="461">
        <f>IF(ISNUMBER((NºAsuntos!C17+NºAsuntos!E17)/NºAsuntos!G17),(NºAsuntos!C17+NºAsuntos!E17)/NºAsuntos!G17," - ")</f>
        <v>1.2219780219780221</v>
      </c>
      <c r="G17" s="479"/>
    </row>
    <row r="18" spans="1:7" ht="14.25" thickTop="1" thickBot="1">
      <c r="A18" s="994" t="str">
        <f>Datos!A18</f>
        <v>TOTAL</v>
      </c>
      <c r="B18" s="1004">
        <f>IF(ISNUMBER(NºAsuntos!G18/NºAsuntos!E18),NºAsuntos!G18/NºAsuntos!E18," - ")</f>
        <v>0.74029662354054904</v>
      </c>
      <c r="C18" s="1005">
        <f>IF(ISNUMBER(NºAsuntos!I18/NºAsuntos!G18),NºAsuntos!I18/NºAsuntos!G18," - ")</f>
        <v>1.7647058823529411</v>
      </c>
      <c r="D18" s="1008">
        <f>IF(ISNUMBER('Resol  Asuntos'!D18/NºAsuntos!G18),'Resol  Asuntos'!D18/NºAsuntos!G18," - ")</f>
        <v>0.18115942028985507</v>
      </c>
      <c r="E18" s="1007">
        <f>IF(ISNUMBER((NºAsuntos!C18+NºAsuntos!E18)/NºAsuntos!G18),(NºAsuntos!C18+NºAsuntos!E18)/NºAsuntos!G18," - ")</f>
        <v>2.7608695652173911</v>
      </c>
      <c r="G18" s="479"/>
    </row>
    <row r="19" spans="1:7" ht="15.75" customHeight="1" thickTop="1" thickBot="1">
      <c r="A19" s="939" t="str">
        <f>Datos!A19</f>
        <v>TOTAL JURISDICCIONES</v>
      </c>
      <c r="B19" s="954">
        <f>IF(ISNUMBER(NºAsuntos!G19/NºAsuntos!E19),NºAsuntos!G19/NºAsuntos!E19," - ")</f>
        <v>0.6599819059107358</v>
      </c>
      <c r="C19" s="955">
        <f>IF(ISNUMBER(NºAsuntos!I19/NºAsuntos!G19),NºAsuntos!I19/NºAsuntos!G19," - ")</f>
        <v>3.982636509024446</v>
      </c>
      <c r="D19" s="956">
        <f>IF(ISNUMBER('Resol  Asuntos'!D19/NºAsuntos!G19),'Resol  Asuntos'!D19/NºAsuntos!G19," - ")</f>
        <v>0.19282613662325793</v>
      </c>
      <c r="E19" s="957">
        <f>IF(ISNUMBER((NºAsuntos!C19+NºAsuntos!E19)/NºAsuntos!G19),(NºAsuntos!C19+NºAsuntos!E19)/NºAsuntos!G19," - ")</f>
        <v>4.9938313913639476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iRJlnGFyn8Q/WaU+hhgGGJkvxjnHzI2eOjx/XLXCZZwJMxRB7El9r0H8cpsxoGlhwwIoQQ2DfrSJO7GwGkgqhw==" saltValue="9oyCle0+uyhikf6Zuhl7V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REGION DE MURCIA</v>
      </c>
      <c r="G2" s="339"/>
      <c r="H2" s="338"/>
      <c r="I2" s="338"/>
      <c r="J2" s="338"/>
      <c r="K2" s="338"/>
      <c r="L2" s="338" t="str">
        <f>Criterios!A10 &amp;"  "&amp;Criterios!B10</f>
        <v>Provincias  MURCIA</v>
      </c>
      <c r="N2" s="338" t="str">
        <f>Criterios!A11 &amp;"  "&amp;Criterios!B11</f>
        <v>Resumenes por Partidos Judiciales  CARTAGENA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5</v>
      </c>
      <c r="B9" s="181" t="s">
        <v>249</v>
      </c>
      <c r="C9" s="164" t="str">
        <f>Datos!A9</f>
        <v xml:space="preserve">Jdos. 1ª Instancia   </v>
      </c>
      <c r="D9" s="164"/>
      <c r="E9" s="1201">
        <f>IF(ISNUMBER(Datos!AQ9),Datos!AQ9," - ")</f>
        <v>5</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408</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207</v>
      </c>
      <c r="Y9" s="343">
        <f>SUM(W9:X9)</f>
        <v>207</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12949</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298</v>
      </c>
      <c r="AJ9" s="233" t="str">
        <f>IF(ISNUMBER(Datos!BW9),Datos!BW9," - ")</f>
        <v xml:space="preserve"> - </v>
      </c>
      <c r="AK9" s="232" t="str">
        <f>IF(ISNUMBER(Datos!BX9),Datos!BX9," - ")</f>
        <v xml:space="preserve"> - </v>
      </c>
      <c r="AL9" s="247">
        <f>IF(ISNUMBER(NºAsuntos!G9/NºAsuntos!E9),NºAsuntos!G9/NºAsuntos!E9," - ")</f>
        <v>0.57594167679222352</v>
      </c>
      <c r="AM9" s="264">
        <f>IF(ISNUMBER(((NºAsuntos!I9/NºAsuntos!G9)*11)/factor_trimestre),((NºAsuntos!I9/NºAsuntos!G9)*11)/factor_trimestre," - ")</f>
        <v>23.5295358649789</v>
      </c>
      <c r="AN9" s="248">
        <f>IF(ISNUMBER('Resol  Asuntos'!D9/NºAsuntos!G9),'Resol  Asuntos'!D9/NºAsuntos!G9," - ")</f>
        <v>0.20956399437412096</v>
      </c>
      <c r="AO9" s="249">
        <f>IF(ISNUMBER((NºAsuntos!C9+NºAsuntos!E9)/NºAsuntos!G9),(NºAsuntos!C9+NºAsuntos!E9)/NºAsuntos!G9," - ")</f>
        <v>8.8839662447257393</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134</v>
      </c>
      <c r="G10" s="342">
        <f>IF(ISNUMBER(Datos!I10),Datos!I10," - ")</f>
        <v>134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80</v>
      </c>
      <c r="X10" s="230">
        <f>IF(ISNUMBER(Datos!Q10),Datos!Q10," - ")</f>
        <v>21</v>
      </c>
      <c r="Y10" s="343">
        <f t="shared" ref="Y10:Y12" si="0">SUM(W10:X10)</f>
        <v>101</v>
      </c>
      <c r="Z10" s="344" t="str">
        <f>IF(ISNUMBER(Datos!CC10),Datos!CC10," - ")</f>
        <v xml:space="preserve"> - </v>
      </c>
      <c r="AA10" s="341">
        <f>IF(ISNUMBER(Datos!L10),Datos!L10,"-")</f>
        <v>125</v>
      </c>
      <c r="AB10" s="343">
        <f>IF(ISNUMBER(Datos!R10),Datos!R10," - ")</f>
        <v>149</v>
      </c>
      <c r="AC10" s="343">
        <f t="shared" ref="AC10:AC12" si="1">IF(ISNUMBER(AA10+AB10),AA10+AB10," - ")</f>
        <v>274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40</v>
      </c>
      <c r="AJ10" s="235" t="str">
        <f>IF(ISNUMBER(Datos!BW10),Datos!BW10," - ")</f>
        <v xml:space="preserve"> - </v>
      </c>
      <c r="AK10" s="236" t="str">
        <f>IF(ISNUMBER(Datos!BX10),Datos!BX10," - ")</f>
        <v xml:space="preserve"> - </v>
      </c>
      <c r="AL10" s="247">
        <f>IF(ISNUMBER(NºAsuntos!G10/NºAsuntos!E10),NºAsuntos!G10/NºAsuntos!E10," - ")</f>
        <v>1.1267605633802817</v>
      </c>
      <c r="AM10" s="264">
        <f>IF(ISNUMBER(((NºAsuntos!I10/NºAsuntos!G10)*11)/factor_trimestre),((NºAsuntos!I10/NºAsuntos!G10)*11)/factor_trimestre," - ")</f>
        <v>4.6875</v>
      </c>
      <c r="AN10" s="248">
        <f>IF(ISNUMBER('Resol  Asuntos'!D10/NºAsuntos!G10),'Resol  Asuntos'!D10/NºAsuntos!G10," - ")</f>
        <v>0.5</v>
      </c>
      <c r="AO10" s="249">
        <f>IF(ISNUMBER((NºAsuntos!C10+NºAsuntos!E10)/NºAsuntos!G10),(NºAsuntos!C10+NºAsuntos!E10)/NºAsuntos!G10," - ")</f>
        <v>2.5625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249</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109</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128</v>
      </c>
      <c r="Y11" s="343">
        <f t="shared" si="0"/>
        <v>128</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917</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81</v>
      </c>
      <c r="AJ11" s="235" t="str">
        <f>IF(ISNUMBER(Datos!BW11),Datos!BW11," - ")</f>
        <v xml:space="preserve"> - </v>
      </c>
      <c r="AK11" s="236" t="str">
        <f>IF(ISNUMBER(Datos!BX11),Datos!BX11," - ")</f>
        <v xml:space="preserve"> - </v>
      </c>
      <c r="AL11" s="247">
        <f>IF(ISNUMBER(NºAsuntos!G11/NºAsuntos!E11),NºAsuntos!G11/NºAsuntos!E11," - ")</f>
        <v>0.5731310942578548</v>
      </c>
      <c r="AM11" s="264">
        <f>IF(ISNUMBER(((NºAsuntos!I11/NºAsuntos!G11)*11)/factor_trimestre),((NºAsuntos!I11/NºAsuntos!G11)*11)/factor_trimestre," - ")</f>
        <v>11.421550094517958</v>
      </c>
      <c r="AN11" s="248">
        <f>IF(ISNUMBER('Resol  Asuntos'!D11/NºAsuntos!G11),'Resol  Asuntos'!D11/NºAsuntos!G11," - ")</f>
        <v>0.15311909262759923</v>
      </c>
      <c r="AO11" s="249">
        <f>IF(ISNUMBER((NºAsuntos!C11+NºAsuntos!E11)/NºAsuntos!G11),(NºAsuntos!C11+NºAsuntos!E11)/NºAsuntos!G11," - ")</f>
        <v>4.8071833648393199</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8</v>
      </c>
      <c r="F13" s="1011">
        <f t="shared" si="3"/>
        <v>134</v>
      </c>
      <c r="G13" s="1012">
        <f t="shared" si="3"/>
        <v>134</v>
      </c>
      <c r="H13" s="1011">
        <f t="shared" si="3"/>
        <v>0</v>
      </c>
      <c r="I13" s="1013">
        <f t="shared" si="3"/>
        <v>0</v>
      </c>
      <c r="J13" s="1013">
        <f t="shared" si="3"/>
        <v>0</v>
      </c>
      <c r="K13" s="1013">
        <f t="shared" si="3"/>
        <v>0</v>
      </c>
      <c r="L13" s="1013">
        <f t="shared" si="3"/>
        <v>529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80</v>
      </c>
      <c r="X13" s="1013">
        <f t="shared" si="4"/>
        <v>356</v>
      </c>
      <c r="Y13" s="1014">
        <f t="shared" si="4"/>
        <v>436</v>
      </c>
      <c r="Z13" s="1014">
        <f t="shared" si="4"/>
        <v>0</v>
      </c>
      <c r="AA13" s="1014">
        <f t="shared" si="4"/>
        <v>125</v>
      </c>
      <c r="AB13" s="1014">
        <f t="shared" si="4"/>
        <v>14015</v>
      </c>
      <c r="AC13" s="1014">
        <f t="shared" si="4"/>
        <v>274</v>
      </c>
      <c r="AD13" s="1014">
        <f t="shared" si="4"/>
        <v>0</v>
      </c>
      <c r="AE13" s="1018">
        <f t="shared" si="4"/>
        <v>0</v>
      </c>
      <c r="AF13" s="1011">
        <f t="shared" si="4"/>
        <v>0</v>
      </c>
      <c r="AG13" s="1019">
        <f t="shared" si="4"/>
        <v>0</v>
      </c>
      <c r="AH13" s="1016">
        <f t="shared" si="4"/>
        <v>0</v>
      </c>
      <c r="AI13" s="1011">
        <f t="shared" si="4"/>
        <v>419</v>
      </c>
      <c r="AJ13" s="1013">
        <f t="shared" si="4"/>
        <v>0</v>
      </c>
      <c r="AK13" s="1016">
        <f>SUBTOTAL(9,AK9:AK12)</f>
        <v>0</v>
      </c>
      <c r="AL13" s="1020">
        <f>IF(ISNUMBER(NºAsuntos!G13/NºAsuntos!E13),NºAsuntos!G13/NºAsuntos!E13," - ")</f>
        <v>0.58648570603522954</v>
      </c>
      <c r="AM13" s="1020">
        <f>IF(ISNUMBER(((NºAsuntos!I13/NºAsuntos!G13)*11)/factor_trimestre),((NºAsuntos!I13/NºAsuntos!G13)*11)/factor_trimestre," - ")</f>
        <v>19.633677991137372</v>
      </c>
      <c r="AN13" s="1021">
        <f>IF(ISNUMBER('Resol  Asuntos'!D13/NºAsuntos!G13),'Resol  Asuntos'!D13/NºAsuntos!G13," - ")</f>
        <v>0.20630231413096997</v>
      </c>
      <c r="AO13" s="1022">
        <f>IF(ISNUMBER((NºAsuntos!C13+NºAsuntos!E13)/NºAsuntos!G13),(NºAsuntos!C13+NºAsuntos!E13)/NºAsuntos!G13," - ")</f>
        <v>7.5731166912850814</v>
      </c>
      <c r="AP13" s="1023" t="str">
        <f t="shared" si="2"/>
        <v xml:space="preserve"> - </v>
      </c>
      <c r="AQ13" s="1023">
        <f>IF(ISNUMBER((H13-W13+K13)/(F13)),(H13-W13+K13)/(F13)," - ")</f>
        <v>-0.59701492537313428</v>
      </c>
      <c r="AR13" s="1024">
        <f>IF(ISNUMBER((Datos!P13-Datos!Q13)/(Datos!R13-Datos!P13+Datos!Q13)),(Datos!P13-Datos!Q13)/(Datos!R13-Datos!P13+Datos!Q13)," - ")</f>
        <v>1.2498193902615229E-2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5</v>
      </c>
      <c r="B15" s="279" t="s">
        <v>400</v>
      </c>
      <c r="C15" s="164" t="str">
        <f>Datos!A15</f>
        <v xml:space="preserve">Jdos. Instrucción                               </v>
      </c>
      <c r="D15" s="164"/>
      <c r="E15" s="1201">
        <f>IF(ISNUMBER(Datos!AQ15),Datos!AQ15," - ")</f>
        <v>5</v>
      </c>
      <c r="F15" s="229">
        <f>IF(ISNUMBER(AA15+W15-Datos!J15-K15),AA15+W15-Datos!J15-K15," - ")</f>
        <v>3205</v>
      </c>
      <c r="G15" s="342">
        <f>IF(ISNUMBER(IF(D_I="SI",Datos!I15,Datos!I15+Datos!AC15)),IF(D_I="SI",Datos!I15,Datos!I15+Datos!AC15)," - ")</f>
        <v>3198</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44</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1891</v>
      </c>
      <c r="X15" s="230">
        <f>IF(ISNUMBER(Datos!Q15),Datos!Q15," - ")</f>
        <v>84</v>
      </c>
      <c r="Y15" s="343">
        <f>SUM(W15)</f>
        <v>1891</v>
      </c>
      <c r="Z15" s="344" t="str">
        <f>IF(ISNUMBER(Datos!CC15),Datos!CC15," - ")</f>
        <v xml:space="preserve"> - </v>
      </c>
      <c r="AA15" s="341">
        <f>IF(ISNUMBER(IF(D_I="SI",Datos!L15,Datos!L15+Datos!AF15)),IF(D_I="SI",Datos!L15,Datos!L15+Datos!AF15)," - ")</f>
        <v>4037</v>
      </c>
      <c r="AB15" s="343">
        <f>IF(ISNUMBER(Datos!R15),Datos!R15," - ")</f>
        <v>541</v>
      </c>
      <c r="AC15" s="343">
        <f t="shared" ref="AC15:AC17" si="6">IF(ISNUMBER(AA15+AB15),AA15+AB15," - ")</f>
        <v>4578</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314</v>
      </c>
      <c r="AJ15" s="235" t="str">
        <f>IF(ISNUMBER(Datos!BW15),Datos!BW15," - ")</f>
        <v xml:space="preserve"> - </v>
      </c>
      <c r="AK15" s="236" t="str">
        <f>IF(ISNUMBER(Datos!BX15),Datos!BX15," - ")</f>
        <v xml:space="preserve"> - </v>
      </c>
      <c r="AL15" s="247">
        <f>IF(ISNUMBER(NºAsuntos!G15/NºAsuntos!E15),NºAsuntos!G15/NºAsuntos!E15," - ")</f>
        <v>0.69445464561145798</v>
      </c>
      <c r="AM15" s="264">
        <f>IF(ISNUMBER(((NºAsuntos!I15/NºAsuntos!G15)*11)/factor_trimestre),((NºAsuntos!I15/NºAsuntos!G15)*11)/factor_trimestre," - ")</f>
        <v>6.4045478582760458</v>
      </c>
      <c r="AN15" s="248">
        <f>IF(ISNUMBER('Resol  Asuntos'!D15/NºAsuntos!G15),'Resol  Asuntos'!D15/NºAsuntos!G15," - ")</f>
        <v>0.16604970914859862</v>
      </c>
      <c r="AO15" s="249">
        <f>IF(ISNUMBER((NºAsuntos!C15+NºAsuntos!E15)/NºAsuntos!G15),(NºAsuntos!C15+NºAsuntos!E15)/NºAsuntos!G15," - ")</f>
        <v>3.1311475409836067</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110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16</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455</v>
      </c>
      <c r="X17" s="230">
        <f>IF(ISNUMBER(Datos!Q17),Datos!Q17," - ")</f>
        <v>16</v>
      </c>
      <c r="Y17" s="343">
        <f t="shared" si="7"/>
        <v>471</v>
      </c>
      <c r="Z17" s="344" t="str">
        <f>IF(ISNUMBER(Datos!CC17),Datos!CC17," - ")</f>
        <v xml:space="preserve"> - </v>
      </c>
      <c r="AA17" s="341">
        <f>IF(ISNUMBER(Datos!L17),Datos!L17,"-")</f>
        <v>103</v>
      </c>
      <c r="AB17" s="343">
        <f>IF(ISNUMBER(Datos!R17),Datos!R17," - ")</f>
        <v>32</v>
      </c>
      <c r="AC17" s="343">
        <f t="shared" si="6"/>
        <v>135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111</v>
      </c>
      <c r="AJ17" s="235" t="str">
        <f>IF(ISNUMBER(Datos!BW17),Datos!BW17," - ")</f>
        <v xml:space="preserve"> - </v>
      </c>
      <c r="AK17" s="236" t="str">
        <f>IF(ISNUMBER(Datos!BX17),Datos!BX17," - ")</f>
        <v xml:space="preserve"> - </v>
      </c>
      <c r="AL17" s="247">
        <f>IF(ISNUMBER(NºAsuntos!G17/NºAsuntos!E17),NºAsuntos!G17/NºAsuntos!E17," - ")</f>
        <v>1.0201793721973094</v>
      </c>
      <c r="AM17" s="264">
        <f>IF(ISNUMBER(((NºAsuntos!I17/NºAsuntos!G17)*11)/factor_trimestre),((NºAsuntos!I17/NºAsuntos!G17)*11)/factor_trimestre," - ")</f>
        <v>0.67912087912087915</v>
      </c>
      <c r="AN17" s="248">
        <f>IF(ISNUMBER('Resol  Asuntos'!D17/NºAsuntos!G17),'Resol  Asuntos'!D17/NºAsuntos!G17," - ")</f>
        <v>0.24395604395604395</v>
      </c>
      <c r="AO17" s="249">
        <f>IF(ISNUMBER((NºAsuntos!C17+NºAsuntos!E17)/NºAsuntos!G17),(NºAsuntos!C17+NºAsuntos!E17)/NºAsuntos!G17," - ")</f>
        <v>1.2219780219780221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3205</v>
      </c>
      <c r="G18" s="1012">
        <f>SUBTOTAL(9,G15:G17)</f>
        <v>3308</v>
      </c>
      <c r="H18" s="1011">
        <f t="shared" ref="H18:O18" si="10">SUBTOTAL(9,H14:H17)</f>
        <v>0</v>
      </c>
      <c r="I18" s="1013">
        <f t="shared" si="10"/>
        <v>0</v>
      </c>
      <c r="J18" s="1013">
        <f t="shared" si="10"/>
        <v>0</v>
      </c>
      <c r="K18" s="1013">
        <f t="shared" si="10"/>
        <v>0</v>
      </c>
      <c r="L18" s="1013">
        <f t="shared" si="10"/>
        <v>60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2346</v>
      </c>
      <c r="X18" s="1013">
        <f t="shared" si="11"/>
        <v>100</v>
      </c>
      <c r="Y18" s="1014">
        <f t="shared" si="11"/>
        <v>2362</v>
      </c>
      <c r="Z18" s="1014">
        <f t="shared" si="11"/>
        <v>0</v>
      </c>
      <c r="AA18" s="1014">
        <f t="shared" si="11"/>
        <v>4140</v>
      </c>
      <c r="AB18" s="1014">
        <f t="shared" si="11"/>
        <v>573</v>
      </c>
      <c r="AC18" s="1014">
        <f t="shared" si="11"/>
        <v>4713</v>
      </c>
      <c r="AD18" s="1014">
        <f t="shared" si="11"/>
        <v>0</v>
      </c>
      <c r="AE18" s="1018">
        <f t="shared" si="11"/>
        <v>0</v>
      </c>
      <c r="AF18" s="1011">
        <f t="shared" si="11"/>
        <v>0</v>
      </c>
      <c r="AG18" s="1019">
        <f t="shared" si="11"/>
        <v>0</v>
      </c>
      <c r="AH18" s="1016">
        <f t="shared" si="11"/>
        <v>0</v>
      </c>
      <c r="AI18" s="1011">
        <f t="shared" si="11"/>
        <v>425</v>
      </c>
      <c r="AJ18" s="1013">
        <f t="shared" si="11"/>
        <v>0</v>
      </c>
      <c r="AK18" s="1016">
        <f t="shared" si="11"/>
        <v>0</v>
      </c>
      <c r="AL18" s="1020">
        <f>IF(ISNUMBER(NºAsuntos!G18/NºAsuntos!E18),NºAsuntos!G18/NºAsuntos!E18," - ")</f>
        <v>0.74029662354054904</v>
      </c>
      <c r="AM18" s="1020">
        <f>IF(ISNUMBER(((NºAsuntos!I18/NºAsuntos!G18)*11)/factor_trimestre),((NºAsuntos!I18/NºAsuntos!G18)*11)/factor_trimestre," - ")</f>
        <v>5.2941176470588234</v>
      </c>
      <c r="AN18" s="1021">
        <f>IF(ISNUMBER('Resol  Asuntos'!D18/NºAsuntos!G18),'Resol  Asuntos'!D18/NºAsuntos!G18," - ")</f>
        <v>0.18115942028985507</v>
      </c>
      <c r="AO18" s="1022">
        <f>IF(ISNUMBER((NºAsuntos!C18+NºAsuntos!E18)/NºAsuntos!G18),(NºAsuntos!C18+NºAsuntos!E18)/NºAsuntos!G18," - ")</f>
        <v>2.7608695652173911</v>
      </c>
      <c r="AP18" s="1023" t="str">
        <f t="shared" si="2"/>
        <v xml:space="preserve"> - </v>
      </c>
      <c r="AQ18" s="1023">
        <f>IF(ISNUMBER((H18-W18+K18)/(F18)),(H18-W18+K18)/(F18)," - ")</f>
        <v>-0.73198127925117007</v>
      </c>
      <c r="AR18" s="1024">
        <f>IF(ISNUMBER((Datos!P18-Datos!Q18)/(Datos!R18-Datos!P18+Datos!Q18)),(Datos!P18-Datos!Q18)/(Datos!R18-Datos!P18+Datos!Q18)," - ")</f>
        <v>-6.5252854812398037E-2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14</v>
      </c>
      <c r="F19" s="966">
        <f t="shared" si="13"/>
        <v>3339</v>
      </c>
      <c r="G19" s="967">
        <f t="shared" si="13"/>
        <v>3442</v>
      </c>
      <c r="H19" s="966">
        <f t="shared" si="13"/>
        <v>0</v>
      </c>
      <c r="I19" s="968">
        <f t="shared" si="13"/>
        <v>0</v>
      </c>
      <c r="J19" s="968">
        <f t="shared" si="13"/>
        <v>0</v>
      </c>
      <c r="K19" s="1027">
        <f t="shared" si="13"/>
        <v>0</v>
      </c>
      <c r="L19" s="968">
        <f t="shared" si="13"/>
        <v>589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2426</v>
      </c>
      <c r="X19" s="967">
        <f t="shared" si="14"/>
        <v>456</v>
      </c>
      <c r="Y19" s="974">
        <f t="shared" si="14"/>
        <v>2798</v>
      </c>
      <c r="Z19" s="974">
        <f t="shared" si="14"/>
        <v>0</v>
      </c>
      <c r="AA19" s="974">
        <f t="shared" si="14"/>
        <v>4265</v>
      </c>
      <c r="AB19" s="974">
        <f t="shared" si="14"/>
        <v>14588</v>
      </c>
      <c r="AC19" s="974">
        <f t="shared" si="14"/>
        <v>4987</v>
      </c>
      <c r="AD19" s="974">
        <f t="shared" si="14"/>
        <v>0</v>
      </c>
      <c r="AE19" s="976">
        <f t="shared" si="14"/>
        <v>0</v>
      </c>
      <c r="AF19" s="977">
        <f t="shared" si="14"/>
        <v>0</v>
      </c>
      <c r="AG19" s="978">
        <f t="shared" si="14"/>
        <v>0</v>
      </c>
      <c r="AH19" s="976">
        <f t="shared" si="14"/>
        <v>0</v>
      </c>
      <c r="AI19" s="966">
        <f t="shared" si="14"/>
        <v>844</v>
      </c>
      <c r="AJ19" s="966">
        <f t="shared" si="14"/>
        <v>0</v>
      </c>
      <c r="AK19" s="976">
        <f t="shared" si="14"/>
        <v>0</v>
      </c>
      <c r="AL19" s="1030">
        <f>IF(ISNUMBER(NºAsuntos!G19/NºAsuntos!E19),NºAsuntos!G19/NºAsuntos!E19," - ")</f>
        <v>0.6599819059107358</v>
      </c>
      <c r="AM19" s="1031">
        <f>IF(ISNUMBER(((NºAsuntos!I19/NºAsuntos!G19)*11)/factor_trimestre),((NºAsuntos!I19/NºAsuntos!G19)*11)/factor_trimestre," - ")</f>
        <v>11.947909527073337</v>
      </c>
      <c r="AN19" s="1031">
        <f>IF(ISNUMBER('Resol  Asuntos'!D19/NºAsuntos!G19),'Resol  Asuntos'!D19/NºAsuntos!G19," - ")</f>
        <v>0.19282613662325793</v>
      </c>
      <c r="AO19" s="1032">
        <f>IF(ISNUMBER((NºAsuntos!C19+NºAsuntos!E19)/NºAsuntos!G19),(NºAsuntos!C19+NºAsuntos!E19)/NºAsuntos!G19," - ")</f>
        <v>4.9938313913639476</v>
      </c>
      <c r="AP19" s="1033" t="str">
        <f t="shared" si="2"/>
        <v xml:space="preserve"> - </v>
      </c>
      <c r="AQ19" s="1034">
        <f>IF(OR(ISNUMBER(FIND("01",Criterios!A8,1)),ISNUMBER(FIND("02",Criterios!A8,1)),ISNUMBER(FIND("03",Criterios!A8,1)),ISNUMBER(FIND("04",Criterios!A8,1))),(I19-W19+K19)/(F19-K19),(H19-W19+K19)/(F19-K19))</f>
        <v>-0.72656483977238695</v>
      </c>
      <c r="AR19" s="1035">
        <f>IF(ISNUMBER((Datos!P19-Datos!Q19)/(Datos!R19-Datos!P19+Datos!Q19)),(Datos!P19-Datos!Q19)/(Datos!R19-Datos!P19+Datos!Q19)," - ")</f>
        <v>9.2009685230024212E-3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1376.8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2.9344694769431681</v>
      </c>
      <c r="F21" s="256">
        <f>IF(ISNUMBER(STDEV(F8:F18)),STDEV(F8:F18),"-")</f>
        <v>1773.0426766813407</v>
      </c>
      <c r="G21" s="257">
        <f>IF(ISNUMBER(STDEV(G8:G18)),STDEV(G8:G18),"-")</f>
        <v>1713.1979453641661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1071.3357550273397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161.77085498880669</v>
      </c>
      <c r="AJ21" s="256">
        <f t="shared" si="18"/>
        <v>0</v>
      </c>
      <c r="AK21" s="258">
        <f t="shared" si="18"/>
        <v>0</v>
      </c>
      <c r="AL21" s="253">
        <f t="shared" si="18"/>
        <v>0.22575599548040365</v>
      </c>
      <c r="AM21" s="254">
        <f t="shared" si="18"/>
        <v>8.4425706332836388</v>
      </c>
      <c r="AN21" s="254">
        <f t="shared" si="18"/>
        <v>0.11979176410784975</v>
      </c>
      <c r="AO21" s="255">
        <f t="shared" si="18"/>
        <v>2.8316825287197775</v>
      </c>
      <c r="AP21" s="295" t="str">
        <f t="shared" si="18"/>
        <v>-</v>
      </c>
      <c r="AQ21" s="296">
        <f t="shared" si="18"/>
        <v>9.5435624059183433E-2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c9YVkQ9MQUuXl6c2imfVkgdRTeTIGdl0Nl2EM7YuZ2FOQrMcnYgDnsicNCMSxcBYz2/4Gj/tqEZJAD5Tgz7dTw==" saltValue="ZitxPUwiAG1fHavATCQ0d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REGION DE MURCIA</v>
      </c>
      <c r="E2" s="267"/>
    </row>
    <row r="3" spans="2:20" ht="17.25" customHeight="1">
      <c r="C3" s="271"/>
      <c r="D3" s="266" t="str">
        <f>Criterios!A10 &amp;"  "&amp;Criterios!B10</f>
        <v>Provincias  MURCIA</v>
      </c>
      <c r="E3" s="267"/>
    </row>
    <row r="4" spans="2:20" ht="17.25" customHeight="1" thickBot="1">
      <c r="D4" s="266" t="str">
        <f>Criterios!A11 &amp;"  "&amp;Criterios!B11</f>
        <v>Resumenes por Partidos Judiciales  CARTAGENA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-0.16056338028169015</v>
      </c>
      <c r="I9" s="359">
        <f>IF(ISNUMBER((Tasas!C9-Datos!BE9)/Datos!BE9),(Tasas!C9-Datos!BE9)/Datos!BE9," - ")</f>
        <v>1.1748430419046725</v>
      </c>
      <c r="J9" s="358">
        <f>IF(ISNUMBER((Tasas!D9-Datos!BF9)/Datos!BF9),(Tasas!D9-Datos!BF9)/Datos!BF9," - ")</f>
        <v>-0.46477767194744679</v>
      </c>
      <c r="K9" s="360">
        <f>IF(ISNUMBER((Tasas!E9-Datos!BG9)/Datos!BG9),(Tasas!E9-Datos!BG9)/Datos!BG9," - ")</f>
        <v>0.92864747359544697</v>
      </c>
      <c r="M9" t="e">
        <f>IF(Monitorios="SI",Datos!CE9,0)</f>
        <v>#REF!</v>
      </c>
      <c r="N9" t="e">
        <f>IF(Monitorios="SI",Datos!CF9,0)</f>
        <v>#REF!</v>
      </c>
      <c r="O9" t="e">
        <f>IF(Monitorios="SI",Datos!CG9,0)</f>
        <v>#REF!</v>
      </c>
      <c r="P9" t="e">
        <f>IF(Monitorios="SI",Datos!CH9,0)</f>
        <v>#REF!</v>
      </c>
      <c r="Q9">
        <f>IF(J_V="SI",0,Datos!AG9)</f>
        <v>416</v>
      </c>
      <c r="R9">
        <f>IF(J_V="SI",0,Datos!AH9)</f>
        <v>181</v>
      </c>
      <c r="S9">
        <f>IF(J_V="SI",0,Datos!AI9)</f>
        <v>221</v>
      </c>
      <c r="T9">
        <f>IF(J_V="SI",0,Datos!AJ9)</f>
        <v>376</v>
      </c>
    </row>
    <row r="10" spans="2:20" ht="14.25">
      <c r="B10" s="279" t="s">
        <v>249</v>
      </c>
      <c r="C10" s="7" t="str">
        <f>Datos!A10</f>
        <v>Jdos. Violencia contra la mujer</v>
      </c>
      <c r="D10" s="361">
        <f>IF(ISNUMBER((Datos!I10-Datos!S10)/Datos!S10),(Datos!I10-Datos!S10)/Datos!S10," - ")</f>
        <v>0.34</v>
      </c>
      <c r="E10" s="357">
        <f>IF(ISNUMBER((Datos!J10-Datos!T10)/Datos!T10),(Datos!J10-Datos!T10)/Datos!T10," - ")</f>
        <v>-6.5789473684210523E-2</v>
      </c>
      <c r="F10" s="357">
        <f>IF(ISNUMBER((Datos!K10-Datos!U10)/Datos!U10),(Datos!K10-Datos!U10)/Datos!U10," - ")</f>
        <v>0.17647058823529413</v>
      </c>
      <c r="G10" s="358">
        <f>IF(ISNUMBER((Datos!L10-Datos!V10)/Datos!V10),(Datos!L10-Datos!V10)/Datos!V10," - ")</f>
        <v>0.21359223300970873</v>
      </c>
      <c r="H10" s="234">
        <f>IF(ISNUMBER((Datos!M10-Datos!W10)/Datos!W10),(Datos!M10-Datos!W10)/Datos!W10," - ")</f>
        <v>1.3529411764705883</v>
      </c>
      <c r="I10" s="359">
        <f>IF(ISNUMBER((Tasas!C10-Datos!BE10)/Datos!BE10),(Tasas!C10-Datos!BE10)/Datos!BE10," - ")</f>
        <v>3.1553398058252462E-2</v>
      </c>
      <c r="J10" s="358">
        <f>IF(ISNUMBER((Tasas!D10-Datos!BF10)/Datos!BF10),(Tasas!D10-Datos!BF10)/Datos!BF10," - ")</f>
        <v>1</v>
      </c>
      <c r="K10" s="360">
        <f>IF(ISNUMBER((Tasas!E10-Datos!BG10)/Datos!BG10),(Tasas!E10-Datos!BG10)/Datos!BG10," - ")</f>
        <v>-9.9431818181818683E-3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-0.64</v>
      </c>
      <c r="I11" s="359">
        <f>IF(ISNUMBER((Tasas!C11-Datos!BE11)/Datos!BE11),(Tasas!C11-Datos!BE11)/Datos!BE11," - ")</f>
        <v>1.2333688330360235</v>
      </c>
      <c r="J11" s="358">
        <f>IF(ISNUMBER((Tasas!D11-Datos!BF11)/Datos!BF11),(Tasas!D11-Datos!BF11)/Datos!BF11," - ")</f>
        <v>-0.67790857535659044</v>
      </c>
      <c r="K11" s="360">
        <f>IF(ISNUMBER((Tasas!E11-Datos!BG11)/Datos!BG11),(Tasas!E11-Datos!BG11)/Datos!BG11," - ")</f>
        <v>0.76638012479539197</v>
      </c>
      <c r="M11" t="e">
        <f>IF(Monitorios="SI",Datos!CE11,0)</f>
        <v>#REF!</v>
      </c>
      <c r="N11" t="e">
        <f>IF(Monitorios="SI",Datos!CF11,0)</f>
        <v>#REF!</v>
      </c>
      <c r="O11" t="e">
        <f>IF(Monitorios="SI",Datos!CG11,0)</f>
        <v>#REF!</v>
      </c>
      <c r="P11" t="e">
        <f>IF(Monitorios="SI",Datos!CH11,0)</f>
        <v>#REF!</v>
      </c>
      <c r="Q11">
        <f>IF(J_V="SI",0,Datos!AG11)</f>
        <v>160</v>
      </c>
      <c r="R11">
        <f>IF(J_V="SI",0,Datos!AH11)</f>
        <v>86</v>
      </c>
      <c r="S11">
        <f>IF(J_V="SI",0,Datos!AI11)</f>
        <v>110</v>
      </c>
      <c r="T11">
        <f>IF(J_V="SI",0,Datos!AJ11)</f>
        <v>134</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-0.2981574539363484</v>
      </c>
      <c r="I13" s="366">
        <f>IF(ISNUMBER((Tasas!C13-Datos!BE13)/Datos!BE13),(Tasas!C13-Datos!BE13)/Datos!BE13," - ")</f>
        <v>1.1290004923682915</v>
      </c>
      <c r="J13" s="364">
        <f>IF(ISNUMBER((Tasas!D13-Datos!BF13)/Datos!BF13),(Tasas!D13-Datos!BF13)/Datos!BF13," - ")</f>
        <v>-0.49696360546861978</v>
      </c>
      <c r="K13" s="367">
        <f>IF(ISNUMBER((Tasas!E13-Datos!BG13)/Datos!BG13),(Tasas!E13-Datos!BG13)/Datos!BG13," - ")</f>
        <v>0.85621777868925408</v>
      </c>
      <c r="M13" t="e">
        <f>IF(Monitorios="SI",Datos!CE13,0)</f>
        <v>#REF!</v>
      </c>
      <c r="N13" t="e">
        <f>IF(Monitorios="SI",Datos!CF13,0)</f>
        <v>#REF!</v>
      </c>
      <c r="O13" t="e">
        <f>IF(Monitorios="SI",Datos!CG13,0)</f>
        <v>#REF!</v>
      </c>
      <c r="P13" t="e">
        <f>IF(Monitorios="SI",Datos!CH13,0)</f>
        <v>#REF!</v>
      </c>
      <c r="Q13">
        <f>IF(J_V="SI",0,Datos!AG13)</f>
        <v>576</v>
      </c>
      <c r="R13">
        <f>IF(J_V="SI",0,Datos!AH13)</f>
        <v>267</v>
      </c>
      <c r="S13">
        <f>IF(J_V="SI",0,Datos!AI13)</f>
        <v>331</v>
      </c>
      <c r="T13">
        <f>IF(J_V="SI",0,Datos!AJ13)</f>
        <v>510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0.34822934232715008</v>
      </c>
      <c r="E15" s="357">
        <f>IF(ISNUMBER(
   IF(D_I="SI",(Datos!J15-Datos!T15)/Datos!T15,(Datos!J15+Datos!AD15-(Datos!T15+Datos!AL15))/(Datos!T15+Datos!AL15))
     ),IF(D_I="SI",(Datos!J15-Datos!T15)/Datos!T15,(Datos!J15+Datos!AD15-(Datos!T15+Datos!AL15))/(Datos!T15+Datos!AL15))," - ")</f>
        <v>-0.18080625752105897</v>
      </c>
      <c r="F15" s="357">
        <f>IF(ISNUMBER(
   IF(D_I="SI",(Datos!K15-Datos!U15)/Datos!U15,(Datos!K15+Datos!AE15-(Datos!U15+Datos!AM15))/(Datos!U15+Datos!AM15))
     ),IF(D_I="SI",(Datos!K15-Datos!U15)/Datos!U15,(Datos!K15+Datos!AE15-(Datos!U15+Datos!AM15))/(Datos!U15+Datos!AM15))," - ")</f>
        <v>-0.4090625</v>
      </c>
      <c r="G15" s="358">
        <f>IF(ISNUMBER(
   IF(D_I="SI",(Datos!L15-Datos!V15)/Datos!V15,(Datos!L15+Datos!AF15-(Datos!V15+Datos!AN15))/(Datos!V15+Datos!AN15))
     ),IF(D_I="SI",(Datos!L15-Datos!V15)/Datos!V15,(Datos!L15+Datos!AF15-(Datos!V15+Datos!AN15))/(Datos!V15+Datos!AN15))," - ")</f>
        <v>0.62979410577311268</v>
      </c>
      <c r="H15" s="234">
        <f>IF(ISNUMBER((Datos!M15-Datos!W15)/Datos!W15),(Datos!M15-Datos!W15)/Datos!W15," - ")</f>
        <v>-0.41417910447761191</v>
      </c>
      <c r="I15" s="359">
        <f>IF(ISNUMBER((Tasas!C15-Datos!BE15)/Datos!BE15),(Tasas!C15-Datos!BE15)/Datos!BE15," - ")</f>
        <v>1.7579805068608996</v>
      </c>
      <c r="J15" s="358">
        <f>IF(ISNUMBER((Tasas!D15-Datos!BF15)/Datos!BF15),(Tasas!D15-Datos!BF15)/Datos!BF15," - ")</f>
        <v>-8.6584528441873837E-3</v>
      </c>
      <c r="K15" s="360">
        <f>IF(ISNUMBER((Tasas!E15-Datos!BG15)/Datos!BG15),(Tasas!E15-Datos!BG15)/Datos!BG15," - ")</f>
        <v>0.75907165223798123</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-0.14728682170542637</v>
      </c>
      <c r="E17" s="357">
        <f>IF(ISNUMBER(
   IF(D_I="SI",(Datos!J17-Datos!T17)/Datos!T17,(Datos!J17+Datos!AD17-(Datos!T17+Datos!AL17))/(Datos!T17+Datos!AL17))
     ),IF(D_I="SI",(Datos!J17-Datos!T17)/Datos!T17,(Datos!J17+Datos!AD17-(Datos!T17+Datos!AL17))/(Datos!T17+Datos!AL17))," - ")</f>
        <v>7.7294685990338161E-2</v>
      </c>
      <c r="F17" s="357">
        <f>IF(ISNUMBER(
   IF(D_I="SI",(Datos!K17-Datos!U17)/Datos!U17,(Datos!K17+Datos!AE17-(Datos!U17+Datos!AM17))/(Datos!U17+Datos!AM17))
     ),IF(D_I="SI",(Datos!K17-Datos!U17)/Datos!U17,(Datos!K17+Datos!AE17-(Datos!U17+Datos!AM17))/(Datos!U17+Datos!AM17))," - ")</f>
        <v>0.12623762376237624</v>
      </c>
      <c r="G17" s="358">
        <f>IF(ISNUMBER(
   IF(D_I="SI",(Datos!L17-Datos!V17)/Datos!V17,(Datos!L17+Datos!AF17-(Datos!V17+Datos!AN17))/(Datos!V17+Datos!AN17))
     ),IF(D_I="SI",(Datos!L17-Datos!V17)/Datos!V17,(Datos!L17+Datos!AF17-(Datos!V17+Datos!AN17))/(Datos!V17+Datos!AN17))," - ")</f>
        <v>-0.25899280575539568</v>
      </c>
      <c r="H17" s="234">
        <f>IF(ISNUMBER((Datos!M17-Datos!W17)/Datos!W17),(Datos!M17-Datos!W17)/Datos!W17," - ")</f>
        <v>0.24719101123595505</v>
      </c>
      <c r="I17" s="359">
        <f>IF(ISNUMBER((Tasas!C17-Datos!BE17)/Datos!BE17),(Tasas!C17-Datos!BE17)/Datos!BE17," - ")</f>
        <v>-0.34205075500039522</v>
      </c>
      <c r="J17" s="358">
        <f>IF(ISNUMBER((Tasas!D17-Datos!BF17)/Datos!BF17),(Tasas!D17-Datos!BF17)/Datos!BF17," - ")</f>
        <v>0.10739597481170511</v>
      </c>
      <c r="K17" s="360">
        <f>IF(ISNUMBER((Tasas!E17-Datos!BG17)/Datos!BG17),(Tasas!E17-Datos!BG17)/Datos!BG17," - ")</f>
        <v>-9.0830348288911802E-2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0.32267093162734906</v>
      </c>
      <c r="E18" s="363">
        <f>IF(ISNUMBER(
   IF(D_I="SI",(Datos!J18-Datos!T18)/Datos!T18,(Datos!J18+Datos!AD18-(Datos!T18+Datos!AL18))/(Datos!T18+Datos!AL18))
     ),IF(D_I="SI",(Datos!J18-Datos!T18)/Datos!T18,(Datos!J18+Datos!AD18-(Datos!T18+Datos!AL18))/(Datos!T18+Datos!AL18))," - ")</f>
        <v>-0.15222043873729266</v>
      </c>
      <c r="F18" s="363">
        <f>IF(ISNUMBER(
   IF(D_I="SI",(Datos!K18-Datos!U18)/Datos!U18,(Datos!K18+Datos!AE18-(Datos!U18+Datos!AM18))/(Datos!U18+Datos!AM18))
     ),IF(D_I="SI",(Datos!K18-Datos!U18)/Datos!U18,(Datos!K18+Datos!AE18-(Datos!U18+Datos!AM18))/(Datos!U18+Datos!AM18))," - ")</f>
        <v>-0.34905660377358488</v>
      </c>
      <c r="G18" s="364">
        <f>IF(ISNUMBER(
   IF(D_I="SI",(Datos!L18-Datos!V18)/Datos!V18,(Datos!L18+Datos!AF18-(Datos!V18+Datos!AN18))/(Datos!V18+Datos!AN18))
     ),IF(D_I="SI",(Datos!L18-Datos!V18)/Datos!V18,(Datos!L18+Datos!AF18-(Datos!V18+Datos!AN18))/(Datos!V18+Datos!AN18))," - ")</f>
        <v>0.58256880733944949</v>
      </c>
      <c r="H18" s="365">
        <f>IF(ISNUMBER((Datos!M18-Datos!W18)/Datos!W18),(Datos!M18-Datos!W18)/Datos!W18," - ")</f>
        <v>-0.32</v>
      </c>
      <c r="I18" s="366">
        <f>IF(ISNUMBER((Tasas!C18-Datos!BE18)/Datos!BE18),(Tasas!C18-Datos!BE18)/Datos!BE18," - ")</f>
        <v>1.4311926605504586</v>
      </c>
      <c r="J18" s="364">
        <f>IF(ISNUMBER((Tasas!D18-Datos!BF18)/Datos!BF18),(Tasas!D18-Datos!BF18)/Datos!BF18," - ")</f>
        <v>4.4637681159420267E-2</v>
      </c>
      <c r="K18" s="367">
        <f>IF(ISNUMBER((Tasas!E18-Datos!BG18)/Datos!BG18),(Tasas!E18-Datos!BG18)/Datos!BG18," - ")</f>
        <v>0.59483473522094532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0.21983656465310047</v>
      </c>
      <c r="E19" s="372">
        <f>IF(ISNUMBER(
   IF(J_V="SI",(Datos!J19-Datos!T19)/Datos!T19,(Datos!J19+Datos!Z19-(Datos!T19+Datos!AH19))/(Datos!T19+Datos!AH19))
     ),IF(J_V="SI",(Datos!J19-Datos!T19)/Datos!T19,(Datos!J19+Datos!Z19-(Datos!T19+Datos!AH19))/(Datos!T19+Datos!AH19))," - ")</f>
        <v>-5.0944476244991412E-2</v>
      </c>
      <c r="F19" s="372">
        <f>IF(ISNUMBER(
   IF(J_V="SI",(Datos!K19-Datos!U19)/Datos!U19,(Datos!K19+Datos!AA19-(Datos!U19+Datos!AI19))/(Datos!U19+Datos!AI19))
     ),IF(J_V="SI",(Datos!K19-Datos!U19)/Datos!U19,(Datos!K19+Datos!AA19-(Datos!U19+Datos!AI19))/(Datos!U19+Datos!AI19))," - ")</f>
        <v>-0.36074193077260114</v>
      </c>
      <c r="G19" s="373">
        <f>IF(ISNUMBER(
   IF(J_V="SI",(Datos!L19-Datos!V19)/Datos!V19,(Datos!L19+Datos!AB19-(Datos!V19+Datos!AJ19))/(Datos!V19+Datos!AJ19))
     ),IF(J_V="SI",(Datos!L19-Datos!V19)/Datos!V19,(Datos!L19+Datos!AB19-(Datos!V19+Datos!AJ19))/(Datos!V19+Datos!AJ19))," - ")</f>
        <v>0.38514104092173224</v>
      </c>
      <c r="H19" s="374">
        <f>IF(ISNUMBER((Datos!M19-Datos!W19)/Datos!W19),(Datos!M19-Datos!W19)/Datos!W19," - ")</f>
        <v>-0.30932896890343697</v>
      </c>
      <c r="I19" s="371">
        <f>IF(ISNUMBER((Tasas!C19-Datos!BE19)/Datos!BE19),(Tasas!C19-Datos!BE19)/Datos!BE19," - ")</f>
        <v>1.1667947697489376</v>
      </c>
      <c r="J19" s="372">
        <f>IF(ISNUMBER((Tasas!D19-Datos!BF19)/Datos!BF19),(Tasas!D19-Datos!BF19)/Datos!BF19," - ")</f>
        <v>-0.32466467649133141</v>
      </c>
      <c r="K19" s="373">
        <f>IF(ISNUMBER((Tasas!E19-Datos!BG19)/Datos!BG19),(Tasas!E19-Datos!BG19)/Datos!BG19," - ")</f>
        <v>0.75617686372208259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0.24236100077952347</v>
      </c>
      <c r="E21" s="282">
        <f t="shared" si="1"/>
        <v>0.11593197990980993</v>
      </c>
      <c r="F21" s="282">
        <f t="shared" si="1"/>
        <v>0.30789645316916098</v>
      </c>
      <c r="G21" s="283">
        <f t="shared" si="1"/>
        <v>0.41161295348419868</v>
      </c>
      <c r="H21" s="289">
        <f t="shared" si="1"/>
        <v>0.66858506091232806</v>
      </c>
      <c r="I21" s="281">
        <f t="shared" si="1"/>
        <v>0.76945672304475476</v>
      </c>
      <c r="J21" s="282">
        <f t="shared" si="1"/>
        <v>0.56287483176729936</v>
      </c>
      <c r="K21" s="283">
        <f t="shared" si="1"/>
        <v>0.41904400564184358</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xb03mJVQs48GwdtEjpbYGKzUCoBLNpHRX6ckNpfqNyCS6pGbMsawBkenqmQrs2H2K4Bjs2JFAmqcGVh3BgGNkw==" saltValue="mqpopQ1fDu3S3HAo4kzwg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2023-10-06T17:11:48Z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